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minova.ADM\Desktop\"/>
    </mc:Choice>
  </mc:AlternateContent>
  <bookViews>
    <workbookView xWindow="0" yWindow="0" windowWidth="28800" windowHeight="12300"/>
  </bookViews>
  <sheets>
    <sheet name=" 8-гр. ЛС 1 (2)" sheetId="5" r:id="rId1"/>
    <sheet name="Макет форма-3" sheetId="6" r:id="rId2"/>
    <sheet name="Source" sheetId="1" r:id="rId3"/>
    <sheet name="SourceObSm" sheetId="2" r:id="rId4"/>
    <sheet name="SmtRes" sheetId="3" r:id="rId5"/>
    <sheet name="EtalonRes" sheetId="4" r:id="rId6"/>
  </sheets>
  <definedNames>
    <definedName name="_xlnm.Print_Titles" localSheetId="0">' 8-гр. ЛС 1 (2)'!$20:$20</definedName>
  </definedNames>
  <calcPr calcId="162913"/>
</workbook>
</file>

<file path=xl/calcChain.xml><?xml version="1.0" encoding="utf-8"?>
<calcChain xmlns="http://schemas.openxmlformats.org/spreadsheetml/2006/main">
  <c r="A1" i="6" l="1"/>
  <c r="C197" i="5"/>
  <c r="B197" i="5"/>
  <c r="C194" i="5"/>
  <c r="B194" i="5"/>
  <c r="G14" i="5"/>
  <c r="G13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I41" i="1"/>
  <c r="D168" i="5"/>
  <c r="C168" i="5"/>
  <c r="B168" i="5"/>
  <c r="A168" i="5"/>
  <c r="I40" i="1"/>
  <c r="D167" i="5"/>
  <c r="C167" i="5"/>
  <c r="B167" i="5"/>
  <c r="A167" i="5"/>
  <c r="G165" i="5"/>
  <c r="G164" i="5"/>
  <c r="AF39" i="1"/>
  <c r="AE39" i="1"/>
  <c r="AC39" i="1"/>
  <c r="BR62" i="3"/>
  <c r="AG62" i="3"/>
  <c r="E162" i="5"/>
  <c r="D162" i="5"/>
  <c r="C162" i="5"/>
  <c r="B162" i="5"/>
  <c r="I39" i="1"/>
  <c r="F162" i="5" s="1"/>
  <c r="D160" i="5"/>
  <c r="C160" i="5"/>
  <c r="B160" i="5"/>
  <c r="A160" i="5"/>
  <c r="G158" i="5"/>
  <c r="G157" i="5"/>
  <c r="AF38" i="1"/>
  <c r="AE38" i="1"/>
  <c r="AC38" i="1"/>
  <c r="BR61" i="3"/>
  <c r="AG61" i="3"/>
  <c r="AK61" i="3" s="1"/>
  <c r="AM38" i="1" s="1"/>
  <c r="E155" i="5"/>
  <c r="D155" i="5"/>
  <c r="C155" i="5"/>
  <c r="B155" i="5"/>
  <c r="I38" i="1"/>
  <c r="F155" i="5" s="1"/>
  <c r="D153" i="5"/>
  <c r="C153" i="5"/>
  <c r="B153" i="5"/>
  <c r="A153" i="5"/>
  <c r="G151" i="5"/>
  <c r="G150" i="5"/>
  <c r="AF37" i="1"/>
  <c r="AE37" i="1"/>
  <c r="AC37" i="1"/>
  <c r="BR60" i="3"/>
  <c r="AG60" i="3"/>
  <c r="AK60" i="3" s="1"/>
  <c r="E148" i="5"/>
  <c r="D148" i="5"/>
  <c r="C148" i="5"/>
  <c r="B148" i="5"/>
  <c r="I37" i="1"/>
  <c r="F148" i="5" s="1"/>
  <c r="D146" i="5"/>
  <c r="C146" i="5"/>
  <c r="B146" i="5"/>
  <c r="A146" i="5"/>
  <c r="I36" i="1"/>
  <c r="D145" i="5"/>
  <c r="C145" i="5"/>
  <c r="B145" i="5"/>
  <c r="A145" i="5"/>
  <c r="I35" i="1"/>
  <c r="D144" i="5"/>
  <c r="C144" i="5"/>
  <c r="B144" i="5"/>
  <c r="A144" i="5"/>
  <c r="G142" i="5"/>
  <c r="G141" i="5"/>
  <c r="BQ59" i="3"/>
  <c r="AF59" i="3"/>
  <c r="E139" i="5"/>
  <c r="D139" i="5"/>
  <c r="C139" i="5"/>
  <c r="B139" i="5"/>
  <c r="BQ58" i="3"/>
  <c r="AC34" i="1" s="1"/>
  <c r="AF58" i="3"/>
  <c r="E138" i="5"/>
  <c r="D138" i="5"/>
  <c r="C138" i="5"/>
  <c r="B138" i="5"/>
  <c r="BR57" i="3"/>
  <c r="AG57" i="3"/>
  <c r="E136" i="5"/>
  <c r="D136" i="5"/>
  <c r="C136" i="5"/>
  <c r="B136" i="5"/>
  <c r="BR56" i="3"/>
  <c r="AG56" i="3"/>
  <c r="E135" i="5"/>
  <c r="D135" i="5"/>
  <c r="C135" i="5"/>
  <c r="B135" i="5"/>
  <c r="BS55" i="3"/>
  <c r="AH55" i="3"/>
  <c r="BR55" i="3"/>
  <c r="AG55" i="3"/>
  <c r="AK55" i="3" s="1"/>
  <c r="E133" i="5"/>
  <c r="F133" i="5"/>
  <c r="D133" i="5"/>
  <c r="C133" i="5"/>
  <c r="B133" i="5"/>
  <c r="BS54" i="3"/>
  <c r="AH54" i="3"/>
  <c r="BR54" i="3"/>
  <c r="AG54" i="3"/>
  <c r="AK54" i="3" s="1"/>
  <c r="H131" i="5" s="1"/>
  <c r="E131" i="5"/>
  <c r="D131" i="5"/>
  <c r="C131" i="5"/>
  <c r="B131" i="5"/>
  <c r="BS53" i="3"/>
  <c r="AE34" i="1" s="1"/>
  <c r="AD34" i="1" s="1"/>
  <c r="AH53" i="3"/>
  <c r="H130" i="5" s="1"/>
  <c r="BR53" i="3"/>
  <c r="AG53" i="3"/>
  <c r="AK53" i="3" s="1"/>
  <c r="E129" i="5"/>
  <c r="D129" i="5"/>
  <c r="C129" i="5"/>
  <c r="B129" i="5"/>
  <c r="BT52" i="3"/>
  <c r="AI52" i="3"/>
  <c r="H127" i="5" s="1"/>
  <c r="E127" i="5"/>
  <c r="D127" i="5"/>
  <c r="C127" i="5"/>
  <c r="B127" i="5"/>
  <c r="BT51" i="3"/>
  <c r="AF34" i="1" s="1"/>
  <c r="AI51" i="3"/>
  <c r="AK51" i="3" s="1"/>
  <c r="AO34" i="1" s="1"/>
  <c r="E126" i="5"/>
  <c r="D126" i="5"/>
  <c r="C126" i="5"/>
  <c r="B126" i="5"/>
  <c r="I34" i="1"/>
  <c r="D125" i="5"/>
  <c r="C125" i="5"/>
  <c r="B125" i="5"/>
  <c r="A125" i="5"/>
  <c r="I33" i="1"/>
  <c r="D124" i="5"/>
  <c r="C124" i="5"/>
  <c r="B124" i="5"/>
  <c r="A124" i="5"/>
  <c r="G122" i="5"/>
  <c r="G121" i="5"/>
  <c r="H119" i="5"/>
  <c r="BQ50" i="3"/>
  <c r="AF50" i="3"/>
  <c r="AK50" i="3" s="1"/>
  <c r="E119" i="5"/>
  <c r="D119" i="5"/>
  <c r="C119" i="5"/>
  <c r="B119" i="5"/>
  <c r="BQ49" i="3"/>
  <c r="AF49" i="3"/>
  <c r="E118" i="5"/>
  <c r="D118" i="5"/>
  <c r="C118" i="5"/>
  <c r="B118" i="5"/>
  <c r="BQ48" i="3"/>
  <c r="AC32" i="1" s="1"/>
  <c r="AF48" i="3"/>
  <c r="AK48" i="3" s="1"/>
  <c r="E117" i="5"/>
  <c r="D117" i="5"/>
  <c r="C117" i="5"/>
  <c r="B117" i="5"/>
  <c r="BR47" i="3"/>
  <c r="AG47" i="3"/>
  <c r="AK47" i="3" s="1"/>
  <c r="E115" i="5"/>
  <c r="D115" i="5"/>
  <c r="C115" i="5"/>
  <c r="B115" i="5"/>
  <c r="BR46" i="3"/>
  <c r="AG46" i="3"/>
  <c r="E114" i="5"/>
  <c r="D114" i="5"/>
  <c r="C114" i="5"/>
  <c r="B114" i="5"/>
  <c r="BS45" i="3"/>
  <c r="AH45" i="3"/>
  <c r="BR45" i="3"/>
  <c r="AG45" i="3"/>
  <c r="AK45" i="3" s="1"/>
  <c r="E112" i="5"/>
  <c r="D112" i="5"/>
  <c r="C112" i="5"/>
  <c r="B112" i="5"/>
  <c r="BS44" i="3"/>
  <c r="AE32" i="1" s="1"/>
  <c r="AD32" i="1" s="1"/>
  <c r="AH44" i="3"/>
  <c r="H111" i="5" s="1"/>
  <c r="BR44" i="3"/>
  <c r="AG44" i="3"/>
  <c r="AK44" i="3" s="1"/>
  <c r="H110" i="5" s="1"/>
  <c r="E110" i="5"/>
  <c r="D110" i="5"/>
  <c r="C110" i="5"/>
  <c r="B110" i="5"/>
  <c r="BT43" i="3"/>
  <c r="AI43" i="3"/>
  <c r="H108" i="5" s="1"/>
  <c r="E108" i="5"/>
  <c r="D108" i="5"/>
  <c r="C108" i="5"/>
  <c r="B108" i="5"/>
  <c r="BT42" i="3"/>
  <c r="AF32" i="1" s="1"/>
  <c r="AI42" i="3"/>
  <c r="AK42" i="3" s="1"/>
  <c r="E107" i="5"/>
  <c r="D107" i="5"/>
  <c r="C107" i="5"/>
  <c r="B107" i="5"/>
  <c r="I32" i="1"/>
  <c r="F119" i="5" s="1"/>
  <c r="D106" i="5"/>
  <c r="C106" i="5"/>
  <c r="B106" i="5"/>
  <c r="A106" i="5"/>
  <c r="I31" i="1"/>
  <c r="D105" i="5"/>
  <c r="C105" i="5"/>
  <c r="B105" i="5"/>
  <c r="A105" i="5"/>
  <c r="I30" i="1"/>
  <c r="D104" i="5"/>
  <c r="C104" i="5"/>
  <c r="B104" i="5"/>
  <c r="A104" i="5"/>
  <c r="G102" i="5"/>
  <c r="G101" i="5"/>
  <c r="BQ41" i="3"/>
  <c r="AF41" i="3"/>
  <c r="AK41" i="3" s="1"/>
  <c r="E99" i="5"/>
  <c r="D99" i="5"/>
  <c r="C99" i="5"/>
  <c r="B99" i="5"/>
  <c r="BQ40" i="3"/>
  <c r="AF40" i="3"/>
  <c r="AK40" i="3" s="1"/>
  <c r="E98" i="5"/>
  <c r="D98" i="5"/>
  <c r="C98" i="5"/>
  <c r="B98" i="5"/>
  <c r="BQ39" i="3"/>
  <c r="AF39" i="3"/>
  <c r="AK39" i="3" s="1"/>
  <c r="E97" i="5"/>
  <c r="D97" i="5"/>
  <c r="C97" i="5"/>
  <c r="B97" i="5"/>
  <c r="BQ38" i="3"/>
  <c r="AF38" i="3"/>
  <c r="AK38" i="3" s="1"/>
  <c r="E96" i="5"/>
  <c r="D96" i="5"/>
  <c r="C96" i="5"/>
  <c r="B96" i="5"/>
  <c r="BQ37" i="3"/>
  <c r="AF37" i="3"/>
  <c r="AK37" i="3" s="1"/>
  <c r="E95" i="5"/>
  <c r="D95" i="5"/>
  <c r="C95" i="5"/>
  <c r="B95" i="5"/>
  <c r="BQ36" i="3"/>
  <c r="AC29" i="1" s="1"/>
  <c r="AF36" i="3"/>
  <c r="AK36" i="3" s="1"/>
  <c r="AL29" i="1" s="1"/>
  <c r="E94" i="5"/>
  <c r="D94" i="5"/>
  <c r="C94" i="5"/>
  <c r="B94" i="5"/>
  <c r="BR35" i="3"/>
  <c r="AG35" i="3"/>
  <c r="AK35" i="3" s="1"/>
  <c r="H92" i="5" s="1"/>
  <c r="E92" i="5"/>
  <c r="D92" i="5"/>
  <c r="C92" i="5"/>
  <c r="B92" i="5"/>
  <c r="BS34" i="3"/>
  <c r="AH34" i="3"/>
  <c r="BR34" i="3"/>
  <c r="AG34" i="3"/>
  <c r="E90" i="5"/>
  <c r="D90" i="5"/>
  <c r="C90" i="5"/>
  <c r="B90" i="5"/>
  <c r="BS33" i="3"/>
  <c r="AE29" i="1" s="1"/>
  <c r="AD29" i="1" s="1"/>
  <c r="AH33" i="3"/>
  <c r="H89" i="5" s="1"/>
  <c r="BR33" i="3"/>
  <c r="AG33" i="3"/>
  <c r="E88" i="5"/>
  <c r="D88" i="5"/>
  <c r="C88" i="5"/>
  <c r="B88" i="5"/>
  <c r="BT32" i="3"/>
  <c r="AI32" i="3"/>
  <c r="H86" i="5" s="1"/>
  <c r="E86" i="5"/>
  <c r="D86" i="5"/>
  <c r="C86" i="5"/>
  <c r="B86" i="5"/>
  <c r="BT31" i="3"/>
  <c r="AF29" i="1" s="1"/>
  <c r="AI31" i="3"/>
  <c r="AK31" i="3" s="1"/>
  <c r="AO29" i="1" s="1"/>
  <c r="E85" i="5"/>
  <c r="D85" i="5"/>
  <c r="C85" i="5"/>
  <c r="B85" i="5"/>
  <c r="I29" i="1"/>
  <c r="F99" i="5" s="1"/>
  <c r="D84" i="5"/>
  <c r="C84" i="5"/>
  <c r="B84" i="5"/>
  <c r="A84" i="5"/>
  <c r="G82" i="5"/>
  <c r="G81" i="5"/>
  <c r="H79" i="5"/>
  <c r="AF28" i="1"/>
  <c r="AE28" i="1"/>
  <c r="AC28" i="1"/>
  <c r="BR30" i="3"/>
  <c r="AG30" i="3"/>
  <c r="AK30" i="3" s="1"/>
  <c r="AM28" i="1" s="1"/>
  <c r="E79" i="5"/>
  <c r="D79" i="5"/>
  <c r="C79" i="5"/>
  <c r="B79" i="5"/>
  <c r="I28" i="1"/>
  <c r="F79" i="5" s="1"/>
  <c r="D77" i="5"/>
  <c r="C77" i="5"/>
  <c r="B77" i="5"/>
  <c r="A77" i="5"/>
  <c r="G75" i="5"/>
  <c r="G74" i="5"/>
  <c r="BQ29" i="3"/>
  <c r="AF29" i="3"/>
  <c r="AK29" i="3" s="1"/>
  <c r="E72" i="5"/>
  <c r="D72" i="5"/>
  <c r="C72" i="5"/>
  <c r="B72" i="5"/>
  <c r="BQ28" i="3"/>
  <c r="AF28" i="3"/>
  <c r="AK28" i="3" s="1"/>
  <c r="E71" i="5"/>
  <c r="F71" i="5"/>
  <c r="D71" i="5"/>
  <c r="C71" i="5"/>
  <c r="B71" i="5"/>
  <c r="BQ27" i="3"/>
  <c r="AF27" i="3"/>
  <c r="AK27" i="3" s="1"/>
  <c r="E70" i="5"/>
  <c r="F70" i="5"/>
  <c r="D70" i="5"/>
  <c r="C70" i="5"/>
  <c r="B70" i="5"/>
  <c r="BR26" i="3"/>
  <c r="AG26" i="3"/>
  <c r="AK26" i="3" s="1"/>
  <c r="H68" i="5" s="1"/>
  <c r="E68" i="5"/>
  <c r="F68" i="5"/>
  <c r="D68" i="5"/>
  <c r="C68" i="5"/>
  <c r="B68" i="5"/>
  <c r="BR25" i="3"/>
  <c r="AG25" i="3"/>
  <c r="E67" i="5"/>
  <c r="D67" i="5"/>
  <c r="C67" i="5"/>
  <c r="B67" i="5"/>
  <c r="BS24" i="3"/>
  <c r="AE27" i="1" s="1"/>
  <c r="AD27" i="1" s="1"/>
  <c r="AH24" i="3"/>
  <c r="AK23" i="3" s="1"/>
  <c r="BR24" i="3"/>
  <c r="AG24" i="3"/>
  <c r="AK24" i="3" s="1"/>
  <c r="E65" i="5"/>
  <c r="D65" i="5"/>
  <c r="C65" i="5"/>
  <c r="B65" i="5"/>
  <c r="BT23" i="3"/>
  <c r="AI23" i="3"/>
  <c r="H63" i="5" s="1"/>
  <c r="E63" i="5"/>
  <c r="D63" i="5"/>
  <c r="C63" i="5"/>
  <c r="B63" i="5"/>
  <c r="BT22" i="3"/>
  <c r="AF27" i="1" s="1"/>
  <c r="AI22" i="3"/>
  <c r="E62" i="5"/>
  <c r="D62" i="5"/>
  <c r="C62" i="5"/>
  <c r="B62" i="5"/>
  <c r="I27" i="1"/>
  <c r="F65" i="5" s="1"/>
  <c r="D61" i="5"/>
  <c r="C61" i="5"/>
  <c r="B61" i="5"/>
  <c r="A61" i="5"/>
  <c r="I26" i="1"/>
  <c r="D60" i="5"/>
  <c r="C60" i="5"/>
  <c r="B60" i="5"/>
  <c r="A60" i="5"/>
  <c r="G58" i="5"/>
  <c r="G57" i="5"/>
  <c r="BQ21" i="3"/>
  <c r="AF21" i="3"/>
  <c r="AK21" i="3" s="1"/>
  <c r="E55" i="5"/>
  <c r="D55" i="5"/>
  <c r="C55" i="5"/>
  <c r="B55" i="5"/>
  <c r="BQ20" i="3"/>
  <c r="AF20" i="3"/>
  <c r="AK20" i="3" s="1"/>
  <c r="H54" i="5" s="1"/>
  <c r="E54" i="5"/>
  <c r="D54" i="5"/>
  <c r="C54" i="5"/>
  <c r="B54" i="5"/>
  <c r="BQ19" i="3"/>
  <c r="AF19" i="3"/>
  <c r="AK19" i="3" s="1"/>
  <c r="E53" i="5"/>
  <c r="D53" i="5"/>
  <c r="C53" i="5"/>
  <c r="B53" i="5"/>
  <c r="BR18" i="3"/>
  <c r="AG18" i="3"/>
  <c r="AK18" i="3" s="1"/>
  <c r="E51" i="5"/>
  <c r="D51" i="5"/>
  <c r="C51" i="5"/>
  <c r="B51" i="5"/>
  <c r="BR17" i="3"/>
  <c r="AG17" i="3"/>
  <c r="AK17" i="3" s="1"/>
  <c r="E50" i="5"/>
  <c r="D50" i="5"/>
  <c r="C50" i="5"/>
  <c r="B50" i="5"/>
  <c r="BS16" i="3"/>
  <c r="AE25" i="1" s="1"/>
  <c r="AD25" i="1" s="1"/>
  <c r="AH16" i="3"/>
  <c r="BR16" i="3"/>
  <c r="AG16" i="3"/>
  <c r="AK16" i="3" s="1"/>
  <c r="E48" i="5"/>
  <c r="D48" i="5"/>
  <c r="C48" i="5"/>
  <c r="B48" i="5"/>
  <c r="BT15" i="3"/>
  <c r="AI15" i="3"/>
  <c r="H46" i="5" s="1"/>
  <c r="E46" i="5"/>
  <c r="D46" i="5"/>
  <c r="C46" i="5"/>
  <c r="B46" i="5"/>
  <c r="BT14" i="3"/>
  <c r="AF25" i="1" s="1"/>
  <c r="AI14" i="3"/>
  <c r="AK14" i="3" s="1"/>
  <c r="H45" i="5" s="1"/>
  <c r="E45" i="5"/>
  <c r="D45" i="5"/>
  <c r="C45" i="5"/>
  <c r="B45" i="5"/>
  <c r="I25" i="1"/>
  <c r="F48" i="5" s="1"/>
  <c r="D44" i="5"/>
  <c r="C44" i="5"/>
  <c r="B44" i="5"/>
  <c r="A44" i="5"/>
  <c r="G42" i="5"/>
  <c r="G41" i="5"/>
  <c r="AE24" i="1"/>
  <c r="AD24" i="1" s="1"/>
  <c r="BQ13" i="3"/>
  <c r="AF13" i="3"/>
  <c r="E39" i="5"/>
  <c r="D39" i="5"/>
  <c r="C39" i="5"/>
  <c r="B39" i="5"/>
  <c r="BQ12" i="3"/>
  <c r="AF12" i="3"/>
  <c r="AK12" i="3" s="1"/>
  <c r="E38" i="5"/>
  <c r="D38" i="5"/>
  <c r="C38" i="5"/>
  <c r="B38" i="5"/>
  <c r="BQ11" i="3"/>
  <c r="AF11" i="3"/>
  <c r="E37" i="5"/>
  <c r="D37" i="5"/>
  <c r="C37" i="5"/>
  <c r="B37" i="5"/>
  <c r="BQ10" i="3"/>
  <c r="AF10" i="3"/>
  <c r="AK10" i="3" s="1"/>
  <c r="E36" i="5"/>
  <c r="D36" i="5"/>
  <c r="C36" i="5"/>
  <c r="B36" i="5"/>
  <c r="BQ9" i="3"/>
  <c r="AC24" i="1" s="1"/>
  <c r="AF9" i="3"/>
  <c r="E35" i="5"/>
  <c r="D35" i="5"/>
  <c r="C35" i="5"/>
  <c r="B35" i="5"/>
  <c r="BR8" i="3"/>
  <c r="AG8" i="3"/>
  <c r="AK8" i="3" s="1"/>
  <c r="E33" i="5"/>
  <c r="D33" i="5"/>
  <c r="C33" i="5"/>
  <c r="B33" i="5"/>
  <c r="BR7" i="3"/>
  <c r="AG7" i="3"/>
  <c r="AK7" i="3" s="1"/>
  <c r="E32" i="5"/>
  <c r="D32" i="5"/>
  <c r="C32" i="5"/>
  <c r="B32" i="5"/>
  <c r="BS6" i="3"/>
  <c r="AH6" i="3"/>
  <c r="H31" i="5" s="1"/>
  <c r="BR6" i="3"/>
  <c r="AG6" i="3"/>
  <c r="E30" i="5"/>
  <c r="D30" i="5"/>
  <c r="C30" i="5"/>
  <c r="B30" i="5"/>
  <c r="BR5" i="3"/>
  <c r="AG5" i="3"/>
  <c r="AK5" i="3" s="1"/>
  <c r="H29" i="5" s="1"/>
  <c r="E29" i="5"/>
  <c r="D29" i="5"/>
  <c r="C29" i="5"/>
  <c r="B29" i="5"/>
  <c r="BS4" i="3"/>
  <c r="AH4" i="3"/>
  <c r="BR4" i="3"/>
  <c r="AG4" i="3"/>
  <c r="AK4" i="3" s="1"/>
  <c r="H27" i="5" s="1"/>
  <c r="E27" i="5"/>
  <c r="D27" i="5"/>
  <c r="C27" i="5"/>
  <c r="B27" i="5"/>
  <c r="BS3" i="3"/>
  <c r="AH3" i="3"/>
  <c r="H26" i="5" s="1"/>
  <c r="BR3" i="3"/>
  <c r="AG3" i="3"/>
  <c r="AK3" i="3" s="1"/>
  <c r="E25" i="5"/>
  <c r="D25" i="5"/>
  <c r="C25" i="5"/>
  <c r="B25" i="5"/>
  <c r="BT2" i="3"/>
  <c r="AI2" i="3"/>
  <c r="H23" i="5" s="1"/>
  <c r="E23" i="5"/>
  <c r="D23" i="5"/>
  <c r="C23" i="5"/>
  <c r="B23" i="5"/>
  <c r="BT1" i="3"/>
  <c r="AF24" i="1" s="1"/>
  <c r="AI1" i="3"/>
  <c r="AK1" i="3" s="1"/>
  <c r="E22" i="5"/>
  <c r="D22" i="5"/>
  <c r="C22" i="5"/>
  <c r="B22" i="5"/>
  <c r="I24" i="1"/>
  <c r="F39" i="5" s="1"/>
  <c r="D21" i="5"/>
  <c r="C21" i="5"/>
  <c r="B21" i="5"/>
  <c r="A21" i="5"/>
  <c r="A11" i="5"/>
  <c r="A9" i="5"/>
  <c r="A2" i="5"/>
  <c r="AK62" i="3"/>
  <c r="AM39" i="1" s="1"/>
  <c r="AH62" i="3"/>
  <c r="AH61" i="3"/>
  <c r="AH60" i="3"/>
  <c r="AK59" i="3"/>
  <c r="H139" i="5" s="1"/>
  <c r="AK58" i="3"/>
  <c r="AK57" i="3"/>
  <c r="H136" i="5" s="1"/>
  <c r="AH57" i="3"/>
  <c r="AK56" i="3"/>
  <c r="H135" i="5" s="1"/>
  <c r="AH56" i="3"/>
  <c r="AK49" i="3"/>
  <c r="H118" i="5" s="1"/>
  <c r="AH47" i="3"/>
  <c r="AK46" i="3"/>
  <c r="H114" i="5" s="1"/>
  <c r="AH46" i="3"/>
  <c r="AH35" i="3"/>
  <c r="AK34" i="3"/>
  <c r="H90" i="5" s="1"/>
  <c r="AK33" i="3"/>
  <c r="H88" i="5" s="1"/>
  <c r="AH30" i="3"/>
  <c r="AH26" i="3"/>
  <c r="AK25" i="3"/>
  <c r="H67" i="5" s="1"/>
  <c r="AH25" i="3"/>
  <c r="AK22" i="3"/>
  <c r="H62" i="5" s="1"/>
  <c r="AH18" i="3"/>
  <c r="AH17" i="3"/>
  <c r="AK15" i="3" s="1"/>
  <c r="AK13" i="3"/>
  <c r="H39" i="5" s="1"/>
  <c r="AK11" i="3"/>
  <c r="H37" i="5" s="1"/>
  <c r="AK9" i="3"/>
  <c r="AH8" i="3"/>
  <c r="AH7" i="3"/>
  <c r="AK6" i="3"/>
  <c r="H30" i="5" s="1"/>
  <c r="AH5" i="3"/>
  <c r="F50" i="5" l="1"/>
  <c r="AC25" i="1"/>
  <c r="H55" i="5"/>
  <c r="H95" i="5"/>
  <c r="H96" i="5"/>
  <c r="H97" i="5"/>
  <c r="H98" i="5"/>
  <c r="H49" i="5"/>
  <c r="F51" i="5"/>
  <c r="H50" i="5"/>
  <c r="F53" i="5"/>
  <c r="F72" i="5"/>
  <c r="F90" i="5"/>
  <c r="H115" i="5"/>
  <c r="AM24" i="1"/>
  <c r="H32" i="5"/>
  <c r="H33" i="5"/>
  <c r="H36" i="5"/>
  <c r="H38" i="5"/>
  <c r="H51" i="5"/>
  <c r="F54" i="5"/>
  <c r="AO25" i="1"/>
  <c r="AM27" i="1"/>
  <c r="AC27" i="1"/>
  <c r="H71" i="5"/>
  <c r="H99" i="5"/>
  <c r="F55" i="5"/>
  <c r="F67" i="5"/>
  <c r="H72" i="5"/>
  <c r="F112" i="5"/>
  <c r="H133" i="5"/>
  <c r="H155" i="5"/>
  <c r="AM37" i="1"/>
  <c r="H148" i="5"/>
  <c r="AM34" i="1"/>
  <c r="AM32" i="1"/>
  <c r="AL27" i="1"/>
  <c r="AO27" i="1"/>
  <c r="AL24" i="1"/>
  <c r="AL25" i="1"/>
  <c r="H53" i="5"/>
  <c r="AM25" i="1"/>
  <c r="AO24" i="1"/>
  <c r="H22" i="5"/>
  <c r="AO32" i="1"/>
  <c r="H107" i="5"/>
  <c r="AL34" i="1"/>
  <c r="H138" i="5"/>
  <c r="F22" i="5"/>
  <c r="F23" i="5"/>
  <c r="F25" i="5"/>
  <c r="H25" i="5"/>
  <c r="AK2" i="3"/>
  <c r="H28" i="5"/>
  <c r="F29" i="5"/>
  <c r="F30" i="5"/>
  <c r="H66" i="5"/>
  <c r="H70" i="5"/>
  <c r="AD28" i="1"/>
  <c r="CR28" i="1" s="1"/>
  <c r="Q28" i="1" s="1"/>
  <c r="AM29" i="1"/>
  <c r="H112" i="5"/>
  <c r="AK52" i="3"/>
  <c r="H132" i="5"/>
  <c r="AD37" i="1"/>
  <c r="CR37" i="1" s="1"/>
  <c r="Q37" i="1" s="1"/>
  <c r="AD38" i="1"/>
  <c r="CR38" i="1" s="1"/>
  <c r="Q38" i="1" s="1"/>
  <c r="AD39" i="1"/>
  <c r="CR39" i="1" s="1"/>
  <c r="Q39" i="1" s="1"/>
  <c r="H162" i="5"/>
  <c r="F27" i="5"/>
  <c r="F32" i="5"/>
  <c r="F33" i="5"/>
  <c r="F35" i="5"/>
  <c r="H35" i="5"/>
  <c r="F36" i="5"/>
  <c r="F37" i="5"/>
  <c r="F38" i="5"/>
  <c r="F45" i="5"/>
  <c r="F46" i="5"/>
  <c r="H48" i="5"/>
  <c r="F62" i="5"/>
  <c r="F63" i="5"/>
  <c r="H65" i="5"/>
  <c r="AL32" i="1"/>
  <c r="F139" i="5"/>
  <c r="F138" i="5"/>
  <c r="F136" i="5"/>
  <c r="F135" i="5"/>
  <c r="F131" i="5"/>
  <c r="F126" i="5"/>
  <c r="H126" i="5"/>
  <c r="F127" i="5"/>
  <c r="F129" i="5"/>
  <c r="H129" i="5"/>
  <c r="H134" i="5"/>
  <c r="F85" i="5"/>
  <c r="H85" i="5"/>
  <c r="F86" i="5"/>
  <c r="F88" i="5"/>
  <c r="AK32" i="3"/>
  <c r="H91" i="5"/>
  <c r="F92" i="5"/>
  <c r="F94" i="5"/>
  <c r="H94" i="5"/>
  <c r="F95" i="5"/>
  <c r="F96" i="5"/>
  <c r="F97" i="5"/>
  <c r="F98" i="5"/>
  <c r="F107" i="5"/>
  <c r="F108" i="5"/>
  <c r="F110" i="5"/>
  <c r="AK43" i="3"/>
  <c r="H113" i="5"/>
  <c r="F114" i="5"/>
  <c r="F115" i="5"/>
  <c r="F117" i="5"/>
  <c r="H117" i="5"/>
  <c r="F118" i="5"/>
  <c r="CR34" i="1"/>
  <c r="Q34" i="1" s="1"/>
  <c r="CR32" i="1"/>
  <c r="Q32" i="1" s="1"/>
  <c r="CR29" i="1"/>
  <c r="Q29" i="1" s="1"/>
  <c r="CR27" i="1"/>
  <c r="Q27" i="1" s="1"/>
  <c r="CR24" i="1"/>
  <c r="Q24" i="1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Y14" i="3"/>
  <c r="CZ14" i="3"/>
  <c r="DA14" i="3"/>
  <c r="A15" i="3"/>
  <c r="CY15" i="3"/>
  <c r="CZ15" i="3"/>
  <c r="DA15" i="3"/>
  <c r="A16" i="3"/>
  <c r="CY16" i="3"/>
  <c r="CZ16" i="3"/>
  <c r="DA16" i="3"/>
  <c r="A17" i="3"/>
  <c r="CY17" i="3"/>
  <c r="CZ17" i="3"/>
  <c r="DA17" i="3"/>
  <c r="A18" i="3"/>
  <c r="CY18" i="3"/>
  <c r="CZ18" i="3"/>
  <c r="DA18" i="3"/>
  <c r="A19" i="3"/>
  <c r="CY19" i="3"/>
  <c r="CZ19" i="3"/>
  <c r="DA19" i="3"/>
  <c r="A20" i="3"/>
  <c r="CY20" i="3"/>
  <c r="CZ20" i="3"/>
  <c r="DA20" i="3"/>
  <c r="A21" i="3"/>
  <c r="CY21" i="3"/>
  <c r="CZ21" i="3"/>
  <c r="DA21" i="3"/>
  <c r="A22" i="3"/>
  <c r="CY22" i="3"/>
  <c r="CZ22" i="3"/>
  <c r="DA22" i="3"/>
  <c r="A23" i="3"/>
  <c r="CY23" i="3"/>
  <c r="CZ23" i="3"/>
  <c r="DA23" i="3"/>
  <c r="A24" i="3"/>
  <c r="CY24" i="3"/>
  <c r="CZ24" i="3"/>
  <c r="DA24" i="3"/>
  <c r="A25" i="3"/>
  <c r="CY25" i="3"/>
  <c r="CZ25" i="3"/>
  <c r="DA25" i="3"/>
  <c r="A26" i="3"/>
  <c r="CY26" i="3"/>
  <c r="CZ26" i="3"/>
  <c r="DA26" i="3"/>
  <c r="A27" i="3"/>
  <c r="CY27" i="3"/>
  <c r="CZ27" i="3"/>
  <c r="DA27" i="3"/>
  <c r="A28" i="3"/>
  <c r="CY28" i="3"/>
  <c r="CZ28" i="3"/>
  <c r="DA28" i="3"/>
  <c r="A29" i="3"/>
  <c r="CY29" i="3"/>
  <c r="CZ29" i="3"/>
  <c r="DA29" i="3"/>
  <c r="A30" i="3"/>
  <c r="CX30" i="3"/>
  <c r="CY30" i="3"/>
  <c r="CZ30" i="3"/>
  <c r="DA30" i="3"/>
  <c r="A31" i="3"/>
  <c r="CY31" i="3"/>
  <c r="CZ31" i="3"/>
  <c r="DA31" i="3"/>
  <c r="A32" i="3"/>
  <c r="CY32" i="3"/>
  <c r="CZ32" i="3"/>
  <c r="DA32" i="3"/>
  <c r="A33" i="3"/>
  <c r="CY33" i="3"/>
  <c r="CZ33" i="3"/>
  <c r="DA33" i="3"/>
  <c r="A34" i="3"/>
  <c r="CY34" i="3"/>
  <c r="CZ34" i="3"/>
  <c r="DA34" i="3"/>
  <c r="A35" i="3"/>
  <c r="CY35" i="3"/>
  <c r="CZ35" i="3"/>
  <c r="DA35" i="3"/>
  <c r="A36" i="3"/>
  <c r="CY36" i="3"/>
  <c r="CZ36" i="3"/>
  <c r="DA36" i="3"/>
  <c r="A37" i="3"/>
  <c r="CY37" i="3"/>
  <c r="CZ37" i="3"/>
  <c r="DA37" i="3"/>
  <c r="A38" i="3"/>
  <c r="CY38" i="3"/>
  <c r="CZ38" i="3"/>
  <c r="DA38" i="3"/>
  <c r="A39" i="3"/>
  <c r="CY39" i="3"/>
  <c r="CZ39" i="3"/>
  <c r="DA39" i="3"/>
  <c r="A40" i="3"/>
  <c r="CY40" i="3"/>
  <c r="CZ40" i="3"/>
  <c r="DA40" i="3"/>
  <c r="A41" i="3"/>
  <c r="CY41" i="3"/>
  <c r="CZ41" i="3"/>
  <c r="DA41" i="3"/>
  <c r="A42" i="3"/>
  <c r="CY42" i="3"/>
  <c r="CZ42" i="3"/>
  <c r="DA42" i="3"/>
  <c r="A43" i="3"/>
  <c r="CY43" i="3"/>
  <c r="CZ43" i="3"/>
  <c r="DA43" i="3"/>
  <c r="A44" i="3"/>
  <c r="CY44" i="3"/>
  <c r="CZ44" i="3"/>
  <c r="DA44" i="3"/>
  <c r="A45" i="3"/>
  <c r="CY45" i="3"/>
  <c r="CZ45" i="3"/>
  <c r="DA45" i="3"/>
  <c r="A46" i="3"/>
  <c r="CY46" i="3"/>
  <c r="CZ46" i="3"/>
  <c r="DA46" i="3"/>
  <c r="A47" i="3"/>
  <c r="CY47" i="3"/>
  <c r="CZ47" i="3"/>
  <c r="DA47" i="3"/>
  <c r="A48" i="3"/>
  <c r="CY48" i="3"/>
  <c r="CZ48" i="3"/>
  <c r="DA48" i="3"/>
  <c r="A49" i="3"/>
  <c r="CY49" i="3"/>
  <c r="CZ49" i="3"/>
  <c r="DA49" i="3"/>
  <c r="A50" i="3"/>
  <c r="CY50" i="3"/>
  <c r="CZ50" i="3"/>
  <c r="DA50" i="3"/>
  <c r="A51" i="3"/>
  <c r="CY51" i="3"/>
  <c r="CZ51" i="3"/>
  <c r="DA51" i="3"/>
  <c r="A52" i="3"/>
  <c r="CY52" i="3"/>
  <c r="CZ52" i="3"/>
  <c r="DA52" i="3"/>
  <c r="A53" i="3"/>
  <c r="CY53" i="3"/>
  <c r="CZ53" i="3"/>
  <c r="DA53" i="3"/>
  <c r="A54" i="3"/>
  <c r="CY54" i="3"/>
  <c r="CZ54" i="3"/>
  <c r="DA54" i="3"/>
  <c r="A55" i="3"/>
  <c r="CY55" i="3"/>
  <c r="CZ55" i="3"/>
  <c r="DA55" i="3"/>
  <c r="A56" i="3"/>
  <c r="CY56" i="3"/>
  <c r="CZ56" i="3"/>
  <c r="DA56" i="3"/>
  <c r="A57" i="3"/>
  <c r="CY57" i="3"/>
  <c r="CZ57" i="3"/>
  <c r="DA57" i="3"/>
  <c r="A58" i="3"/>
  <c r="CY58" i="3"/>
  <c r="CZ58" i="3"/>
  <c r="DA58" i="3"/>
  <c r="A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CQ24" i="1"/>
  <c r="P24" i="1" s="1"/>
  <c r="CT24" i="1"/>
  <c r="S24" i="1" s="1"/>
  <c r="AG24" i="1"/>
  <c r="AH24" i="1"/>
  <c r="CV24" i="1" s="1"/>
  <c r="U24" i="1" s="1"/>
  <c r="AI24" i="1"/>
  <c r="CW24" i="1" s="1"/>
  <c r="V24" i="1" s="1"/>
  <c r="AJ24" i="1"/>
  <c r="CX24" i="1" s="1"/>
  <c r="W24" i="1" s="1"/>
  <c r="CS24" i="1"/>
  <c r="R24" i="1" s="1"/>
  <c r="GK24" i="1" s="1"/>
  <c r="CU24" i="1"/>
  <c r="T24" i="1" s="1"/>
  <c r="FR24" i="1"/>
  <c r="GL24" i="1"/>
  <c r="GO24" i="1"/>
  <c r="GP24" i="1"/>
  <c r="GV24" i="1"/>
  <c r="GX24" i="1" s="1"/>
  <c r="C25" i="1"/>
  <c r="D25" i="1"/>
  <c r="CX14" i="3"/>
  <c r="CT25" i="1"/>
  <c r="S25" i="1" s="1"/>
  <c r="AG25" i="1"/>
  <c r="AH25" i="1"/>
  <c r="CV25" i="1" s="1"/>
  <c r="U25" i="1" s="1"/>
  <c r="AI25" i="1"/>
  <c r="CW25" i="1" s="1"/>
  <c r="V25" i="1" s="1"/>
  <c r="AJ25" i="1"/>
  <c r="CX25" i="1" s="1"/>
  <c r="W25" i="1" s="1"/>
  <c r="CU25" i="1"/>
  <c r="T25" i="1" s="1"/>
  <c r="FR25" i="1"/>
  <c r="GL25" i="1"/>
  <c r="GO25" i="1"/>
  <c r="GP25" i="1"/>
  <c r="GV25" i="1"/>
  <c r="GX25" i="1" s="1"/>
  <c r="AC26" i="1"/>
  <c r="AD26" i="1"/>
  <c r="AE26" i="1"/>
  <c r="AF26" i="1"/>
  <c r="CT26" i="1" s="1"/>
  <c r="S26" i="1" s="1"/>
  <c r="AG26" i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CS26" i="1"/>
  <c r="R26" i="1" s="1"/>
  <c r="GK26" i="1" s="1"/>
  <c r="CU26" i="1"/>
  <c r="T26" i="1" s="1"/>
  <c r="FR26" i="1"/>
  <c r="GL26" i="1"/>
  <c r="GO26" i="1"/>
  <c r="GP26" i="1"/>
  <c r="GV26" i="1"/>
  <c r="GX26" i="1" s="1"/>
  <c r="C27" i="1"/>
  <c r="D27" i="1"/>
  <c r="CT27" i="1"/>
  <c r="S27" i="1" s="1"/>
  <c r="AG27" i="1"/>
  <c r="CU27" i="1" s="1"/>
  <c r="T27" i="1" s="1"/>
  <c r="AH27" i="1"/>
  <c r="CV27" i="1" s="1"/>
  <c r="U27" i="1" s="1"/>
  <c r="AI27" i="1"/>
  <c r="CW27" i="1" s="1"/>
  <c r="V27" i="1" s="1"/>
  <c r="AJ27" i="1"/>
  <c r="CX27" i="1"/>
  <c r="W27" i="1" s="1"/>
  <c r="FR27" i="1"/>
  <c r="GL27" i="1"/>
  <c r="GO27" i="1"/>
  <c r="GP27" i="1"/>
  <c r="GV27" i="1"/>
  <c r="GX27" i="1" s="1"/>
  <c r="C28" i="1"/>
  <c r="D28" i="1"/>
  <c r="CT28" i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CY28" i="1"/>
  <c r="X28" i="1" s="1"/>
  <c r="H81" i="5" s="1"/>
  <c r="CZ28" i="1"/>
  <c r="Y28" i="1" s="1"/>
  <c r="H82" i="5" s="1"/>
  <c r="FR28" i="1"/>
  <c r="GL28" i="1"/>
  <c r="GO28" i="1"/>
  <c r="GP28" i="1"/>
  <c r="GV28" i="1"/>
  <c r="GX28" i="1"/>
  <c r="C29" i="1"/>
  <c r="D29" i="1"/>
  <c r="CT29" i="1"/>
  <c r="S29" i="1" s="1"/>
  <c r="AG29" i="1"/>
  <c r="CU29" i="1" s="1"/>
  <c r="T29" i="1" s="1"/>
  <c r="AH29" i="1"/>
  <c r="CV29" i="1" s="1"/>
  <c r="U29" i="1" s="1"/>
  <c r="AI29" i="1"/>
  <c r="CW29" i="1" s="1"/>
  <c r="V29" i="1" s="1"/>
  <c r="AJ29" i="1"/>
  <c r="CX29" i="1" s="1"/>
  <c r="W29" i="1" s="1"/>
  <c r="FR29" i="1"/>
  <c r="GL29" i="1"/>
  <c r="GO29" i="1"/>
  <c r="GP29" i="1"/>
  <c r="GV29" i="1"/>
  <c r="GX29" i="1" s="1"/>
  <c r="AC30" i="1"/>
  <c r="AE30" i="1"/>
  <c r="AD30" i="1" s="1"/>
  <c r="CR30" i="1" s="1"/>
  <c r="Q30" i="1" s="1"/>
  <c r="AF30" i="1"/>
  <c r="AG30" i="1"/>
  <c r="CU30" i="1" s="1"/>
  <c r="T30" i="1" s="1"/>
  <c r="AH30" i="1"/>
  <c r="CV30" i="1" s="1"/>
  <c r="U30" i="1" s="1"/>
  <c r="AI30" i="1"/>
  <c r="CW30" i="1" s="1"/>
  <c r="V30" i="1" s="1"/>
  <c r="AJ30" i="1"/>
  <c r="CT30" i="1"/>
  <c r="S30" i="1" s="1"/>
  <c r="CX30" i="1"/>
  <c r="W30" i="1" s="1"/>
  <c r="FR30" i="1"/>
  <c r="GL30" i="1"/>
  <c r="GO30" i="1"/>
  <c r="GP30" i="1"/>
  <c r="GV30" i="1"/>
  <c r="GX30" i="1" s="1"/>
  <c r="AC31" i="1"/>
  <c r="AE31" i="1"/>
  <c r="AD31" i="1" s="1"/>
  <c r="CR31" i="1" s="1"/>
  <c r="Q31" i="1" s="1"/>
  <c r="AF31" i="1"/>
  <c r="AG31" i="1"/>
  <c r="AH31" i="1"/>
  <c r="CV31" i="1" s="1"/>
  <c r="U31" i="1" s="1"/>
  <c r="AI31" i="1"/>
  <c r="AJ31" i="1"/>
  <c r="CQ31" i="1"/>
  <c r="P31" i="1" s="1"/>
  <c r="CT31" i="1"/>
  <c r="S31" i="1" s="1"/>
  <c r="CU31" i="1"/>
  <c r="T31" i="1" s="1"/>
  <c r="CW31" i="1"/>
  <c r="V31" i="1" s="1"/>
  <c r="CX31" i="1"/>
  <c r="W31" i="1" s="1"/>
  <c r="FR31" i="1"/>
  <c r="GL31" i="1"/>
  <c r="GO31" i="1"/>
  <c r="GP31" i="1"/>
  <c r="GV31" i="1"/>
  <c r="GX31" i="1"/>
  <c r="C32" i="1"/>
  <c r="D32" i="1"/>
  <c r="CT32" i="1"/>
  <c r="S32" i="1" s="1"/>
  <c r="AG32" i="1"/>
  <c r="AH32" i="1"/>
  <c r="CV32" i="1" s="1"/>
  <c r="U32" i="1" s="1"/>
  <c r="AI32" i="1"/>
  <c r="CW32" i="1" s="1"/>
  <c r="V32" i="1" s="1"/>
  <c r="AJ32" i="1"/>
  <c r="CQ32" i="1"/>
  <c r="P32" i="1" s="1"/>
  <c r="CU32" i="1"/>
  <c r="T32" i="1" s="1"/>
  <c r="CX32" i="1"/>
  <c r="W32" i="1" s="1"/>
  <c r="FR32" i="1"/>
  <c r="GL32" i="1"/>
  <c r="GO32" i="1"/>
  <c r="GP32" i="1"/>
  <c r="GV32" i="1"/>
  <c r="GX32" i="1"/>
  <c r="AC33" i="1"/>
  <c r="CQ33" i="1" s="1"/>
  <c r="P33" i="1" s="1"/>
  <c r="AE33" i="1"/>
  <c r="AD33" i="1" s="1"/>
  <c r="AB33" i="1" s="1"/>
  <c r="G124" i="5" s="1"/>
  <c r="AF33" i="1"/>
  <c r="CT33" i="1" s="1"/>
  <c r="S33" i="1" s="1"/>
  <c r="AG33" i="1"/>
  <c r="AH33" i="1"/>
  <c r="CV33" i="1" s="1"/>
  <c r="U33" i="1" s="1"/>
  <c r="AI33" i="1"/>
  <c r="CW33" i="1" s="1"/>
  <c r="V33" i="1" s="1"/>
  <c r="AJ33" i="1"/>
  <c r="CX33" i="1" s="1"/>
  <c r="W33" i="1" s="1"/>
  <c r="CS33" i="1"/>
  <c r="R33" i="1" s="1"/>
  <c r="GK33" i="1" s="1"/>
  <c r="CU33" i="1"/>
  <c r="T33" i="1" s="1"/>
  <c r="FR33" i="1"/>
  <c r="GL33" i="1"/>
  <c r="GO33" i="1"/>
  <c r="GP33" i="1"/>
  <c r="GV33" i="1"/>
  <c r="GX33" i="1"/>
  <c r="C34" i="1"/>
  <c r="D34" i="1"/>
  <c r="CT34" i="1"/>
  <c r="S34" i="1" s="1"/>
  <c r="AG34" i="1"/>
  <c r="CU34" i="1" s="1"/>
  <c r="T34" i="1" s="1"/>
  <c r="AH34" i="1"/>
  <c r="CV34" i="1" s="1"/>
  <c r="U34" i="1" s="1"/>
  <c r="AI34" i="1"/>
  <c r="CW34" i="1" s="1"/>
  <c r="V34" i="1" s="1"/>
  <c r="AJ34" i="1"/>
  <c r="CX34" i="1" s="1"/>
  <c r="W34" i="1" s="1"/>
  <c r="FR34" i="1"/>
  <c r="GL34" i="1"/>
  <c r="GO34" i="1"/>
  <c r="GP34" i="1"/>
  <c r="GV34" i="1"/>
  <c r="GX34" i="1" s="1"/>
  <c r="AC35" i="1"/>
  <c r="AE35" i="1"/>
  <c r="AD35" i="1" s="1"/>
  <c r="CR35" i="1" s="1"/>
  <c r="Q35" i="1" s="1"/>
  <c r="AF35" i="1"/>
  <c r="AG35" i="1"/>
  <c r="CU35" i="1" s="1"/>
  <c r="T35" i="1" s="1"/>
  <c r="AH35" i="1"/>
  <c r="CV35" i="1" s="1"/>
  <c r="U35" i="1" s="1"/>
  <c r="AI35" i="1"/>
  <c r="CW35" i="1" s="1"/>
  <c r="V35" i="1" s="1"/>
  <c r="AJ35" i="1"/>
  <c r="CT35" i="1"/>
  <c r="S35" i="1" s="1"/>
  <c r="CX35" i="1"/>
  <c r="W35" i="1" s="1"/>
  <c r="FR35" i="1"/>
  <c r="GL35" i="1"/>
  <c r="GO35" i="1"/>
  <c r="GP35" i="1"/>
  <c r="GV35" i="1"/>
  <c r="GX35" i="1" s="1"/>
  <c r="AC36" i="1"/>
  <c r="AE36" i="1"/>
  <c r="AD36" i="1" s="1"/>
  <c r="CR36" i="1" s="1"/>
  <c r="Q36" i="1" s="1"/>
  <c r="AF36" i="1"/>
  <c r="AG36" i="1"/>
  <c r="CU36" i="1" s="1"/>
  <c r="T36" i="1" s="1"/>
  <c r="AH36" i="1"/>
  <c r="CV36" i="1" s="1"/>
  <c r="U36" i="1" s="1"/>
  <c r="AI36" i="1"/>
  <c r="CW36" i="1" s="1"/>
  <c r="V36" i="1" s="1"/>
  <c r="AJ36" i="1"/>
  <c r="CX36" i="1" s="1"/>
  <c r="W36" i="1" s="1"/>
  <c r="CT36" i="1"/>
  <c r="S36" i="1" s="1"/>
  <c r="FR36" i="1"/>
  <c r="GL36" i="1"/>
  <c r="GO36" i="1"/>
  <c r="GP36" i="1"/>
  <c r="GV36" i="1"/>
  <c r="GX36" i="1" s="1"/>
  <c r="C37" i="1"/>
  <c r="D37" i="1"/>
  <c r="AG37" i="1"/>
  <c r="AH37" i="1"/>
  <c r="AI37" i="1"/>
  <c r="CW37" i="1" s="1"/>
  <c r="V37" i="1" s="1"/>
  <c r="AJ37" i="1"/>
  <c r="CQ37" i="1"/>
  <c r="P37" i="1" s="1"/>
  <c r="CS37" i="1"/>
  <c r="R37" i="1" s="1"/>
  <c r="GK37" i="1" s="1"/>
  <c r="CT37" i="1"/>
  <c r="S37" i="1" s="1"/>
  <c r="CU37" i="1"/>
  <c r="T37" i="1" s="1"/>
  <c r="CV37" i="1"/>
  <c r="U37" i="1" s="1"/>
  <c r="CX37" i="1"/>
  <c r="W37" i="1" s="1"/>
  <c r="CY37" i="1"/>
  <c r="X37" i="1" s="1"/>
  <c r="H150" i="5" s="1"/>
  <c r="CZ37" i="1"/>
  <c r="Y37" i="1" s="1"/>
  <c r="H151" i="5" s="1"/>
  <c r="FR37" i="1"/>
  <c r="GL37" i="1"/>
  <c r="GO37" i="1"/>
  <c r="GP37" i="1"/>
  <c r="GV37" i="1"/>
  <c r="GX37" i="1" s="1"/>
  <c r="C38" i="1"/>
  <c r="D38" i="1"/>
  <c r="CT38" i="1"/>
  <c r="S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GK38" i="1" s="1"/>
  <c r="CU38" i="1"/>
  <c r="T38" i="1" s="1"/>
  <c r="CW38" i="1"/>
  <c r="V38" i="1" s="1"/>
  <c r="CY38" i="1"/>
  <c r="X38" i="1" s="1"/>
  <c r="H157" i="5" s="1"/>
  <c r="CZ38" i="1"/>
  <c r="Y38" i="1" s="1"/>
  <c r="H158" i="5" s="1"/>
  <c r="FR38" i="1"/>
  <c r="GL38" i="1"/>
  <c r="GO38" i="1"/>
  <c r="GP38" i="1"/>
  <c r="GV38" i="1"/>
  <c r="GX38" i="1"/>
  <c r="C39" i="1"/>
  <c r="D39" i="1"/>
  <c r="CT39" i="1"/>
  <c r="S39" i="1" s="1"/>
  <c r="AG39" i="1"/>
  <c r="AH39" i="1"/>
  <c r="CV39" i="1" s="1"/>
  <c r="U39" i="1" s="1"/>
  <c r="AI39" i="1"/>
  <c r="CW39" i="1" s="1"/>
  <c r="V39" i="1" s="1"/>
  <c r="AJ39" i="1"/>
  <c r="CX39" i="1" s="1"/>
  <c r="W39" i="1" s="1"/>
  <c r="CQ39" i="1"/>
  <c r="P39" i="1" s="1"/>
  <c r="CS39" i="1"/>
  <c r="R39" i="1" s="1"/>
  <c r="GK39" i="1" s="1"/>
  <c r="CU39" i="1"/>
  <c r="T39" i="1" s="1"/>
  <c r="CY39" i="1"/>
  <c r="X39" i="1" s="1"/>
  <c r="H164" i="5" s="1"/>
  <c r="CZ39" i="1"/>
  <c r="Y39" i="1" s="1"/>
  <c r="H165" i="5" s="1"/>
  <c r="FR39" i="1"/>
  <c r="GL39" i="1"/>
  <c r="GO39" i="1"/>
  <c r="GP39" i="1"/>
  <c r="GV39" i="1"/>
  <c r="GX39" i="1" s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CW40" i="1" s="1"/>
  <c r="V40" i="1" s="1"/>
  <c r="AJ40" i="1"/>
  <c r="CX40" i="1" s="1"/>
  <c r="W40" i="1" s="1"/>
  <c r="CQ40" i="1"/>
  <c r="P40" i="1" s="1"/>
  <c r="CS40" i="1"/>
  <c r="R40" i="1" s="1"/>
  <c r="GK40" i="1" s="1"/>
  <c r="CU40" i="1"/>
  <c r="T40" i="1" s="1"/>
  <c r="FR40" i="1"/>
  <c r="GL40" i="1"/>
  <c r="GO40" i="1"/>
  <c r="GP40" i="1"/>
  <c r="GV40" i="1"/>
  <c r="GX40" i="1" s="1"/>
  <c r="AC41" i="1"/>
  <c r="AD41" i="1"/>
  <c r="CR41" i="1" s="1"/>
  <c r="Q41" i="1" s="1"/>
  <c r="AE41" i="1"/>
  <c r="AF41" i="1"/>
  <c r="CT41" i="1" s="1"/>
  <c r="S41" i="1" s="1"/>
  <c r="AG41" i="1"/>
  <c r="CU41" i="1" s="1"/>
  <c r="T41" i="1" s="1"/>
  <c r="AH41" i="1"/>
  <c r="CV41" i="1" s="1"/>
  <c r="U41" i="1" s="1"/>
  <c r="AI41" i="1"/>
  <c r="CW41" i="1" s="1"/>
  <c r="V41" i="1" s="1"/>
  <c r="AJ41" i="1"/>
  <c r="CX41" i="1" s="1"/>
  <c r="W41" i="1" s="1"/>
  <c r="CQ41" i="1"/>
  <c r="P41" i="1" s="1"/>
  <c r="CS41" i="1"/>
  <c r="R41" i="1" s="1"/>
  <c r="GK41" i="1" s="1"/>
  <c r="FR41" i="1"/>
  <c r="GL41" i="1"/>
  <c r="GO41" i="1"/>
  <c r="GP41" i="1"/>
  <c r="GV41" i="1"/>
  <c r="GX41" i="1" s="1"/>
  <c r="B43" i="1"/>
  <c r="B22" i="1" s="1"/>
  <c r="C43" i="1"/>
  <c r="C22" i="1" s="1"/>
  <c r="D43" i="1"/>
  <c r="D22" i="1" s="1"/>
  <c r="F43" i="1"/>
  <c r="F22" i="1" s="1"/>
  <c r="G43" i="1"/>
  <c r="G22" i="1" s="1"/>
  <c r="BX43" i="1"/>
  <c r="BX22" i="1" s="1"/>
  <c r="CK43" i="1"/>
  <c r="CK22" i="1" s="1"/>
  <c r="CL43" i="1"/>
  <c r="CL22" i="1" s="1"/>
  <c r="B74" i="1"/>
  <c r="B18" i="1" s="1"/>
  <c r="C74" i="1"/>
  <c r="C18" i="1" s="1"/>
  <c r="D74" i="1"/>
  <c r="D18" i="1" s="1"/>
  <c r="F74" i="1"/>
  <c r="F18" i="1" s="1"/>
  <c r="G74" i="1"/>
  <c r="G18" i="1" s="1"/>
  <c r="B46" i="2"/>
  <c r="B47" i="2"/>
  <c r="CS31" i="1" l="1"/>
  <c r="R31" i="1" s="1"/>
  <c r="GK31" i="1" s="1"/>
  <c r="AB36" i="1"/>
  <c r="G145" i="5" s="1"/>
  <c r="AB26" i="1"/>
  <c r="G60" i="5" s="1"/>
  <c r="AB30" i="1"/>
  <c r="G104" i="5" s="1"/>
  <c r="BZ43" i="1"/>
  <c r="BZ22" i="1" s="1"/>
  <c r="BY43" i="1"/>
  <c r="BY22" i="1" s="1"/>
  <c r="CD43" i="1"/>
  <c r="CD22" i="1" s="1"/>
  <c r="CC43" i="1"/>
  <c r="CC22" i="1" s="1"/>
  <c r="AB34" i="1"/>
  <c r="G125" i="5" s="1"/>
  <c r="CS32" i="1"/>
  <c r="R32" i="1" s="1"/>
  <c r="GK32" i="1" s="1"/>
  <c r="AB32" i="1"/>
  <c r="G106" i="5" s="1"/>
  <c r="CP28" i="1"/>
  <c r="O28" i="1" s="1"/>
  <c r="H83" i="5" s="1"/>
  <c r="AB27" i="1"/>
  <c r="G61" i="5" s="1"/>
  <c r="CP41" i="1"/>
  <c r="O41" i="1" s="1"/>
  <c r="H168" i="5" s="1"/>
  <c r="CP40" i="1"/>
  <c r="O40" i="1" s="1"/>
  <c r="H167" i="5" s="1"/>
  <c r="CP39" i="1"/>
  <c r="O39" i="1" s="1"/>
  <c r="CP38" i="1"/>
  <c r="O38" i="1" s="1"/>
  <c r="AB37" i="1"/>
  <c r="G146" i="5" s="1"/>
  <c r="AB35" i="1"/>
  <c r="G144" i="5" s="1"/>
  <c r="AG43" i="1"/>
  <c r="CZ41" i="1"/>
  <c r="Y41" i="1" s="1"/>
  <c r="CY41" i="1"/>
  <c r="X41" i="1" s="1"/>
  <c r="CZ40" i="1"/>
  <c r="Y40" i="1" s="1"/>
  <c r="CY40" i="1"/>
  <c r="X40" i="1" s="1"/>
  <c r="CP37" i="1"/>
  <c r="O37" i="1" s="1"/>
  <c r="CJ43" i="1"/>
  <c r="AI43" i="1"/>
  <c r="AJ43" i="1"/>
  <c r="AH43" i="1"/>
  <c r="CY33" i="1"/>
  <c r="X33" i="1" s="1"/>
  <c r="AF43" i="1"/>
  <c r="CZ33" i="1"/>
  <c r="Y33" i="1" s="1"/>
  <c r="BC43" i="1"/>
  <c r="AO43" i="1"/>
  <c r="AB41" i="1"/>
  <c r="G168" i="5" s="1"/>
  <c r="AB40" i="1"/>
  <c r="G167" i="5" s="1"/>
  <c r="AB39" i="1"/>
  <c r="G160" i="5" s="1"/>
  <c r="AB38" i="1"/>
  <c r="G153" i="5" s="1"/>
  <c r="CS36" i="1"/>
  <c r="R36" i="1" s="1"/>
  <c r="GK36" i="1" s="1"/>
  <c r="CQ36" i="1"/>
  <c r="P36" i="1" s="1"/>
  <c r="CP36" i="1" s="1"/>
  <c r="O36" i="1" s="1"/>
  <c r="H145" i="5" s="1"/>
  <c r="CS35" i="1"/>
  <c r="R35" i="1" s="1"/>
  <c r="GK35" i="1" s="1"/>
  <c r="CQ35" i="1"/>
  <c r="P35" i="1" s="1"/>
  <c r="CP35" i="1" s="1"/>
  <c r="O35" i="1" s="1"/>
  <c r="H144" i="5" s="1"/>
  <c r="CS34" i="1"/>
  <c r="R34" i="1" s="1"/>
  <c r="GK34" i="1" s="1"/>
  <c r="CQ34" i="1"/>
  <c r="P34" i="1" s="1"/>
  <c r="CP34" i="1" s="1"/>
  <c r="O34" i="1" s="1"/>
  <c r="H125" i="5" s="1"/>
  <c r="CX52" i="3"/>
  <c r="CX54" i="3"/>
  <c r="CX56" i="3"/>
  <c r="CX58" i="3"/>
  <c r="CX51" i="3"/>
  <c r="CX53" i="3"/>
  <c r="CX55" i="3"/>
  <c r="CX57" i="3"/>
  <c r="CX59" i="3"/>
  <c r="CR33" i="1"/>
  <c r="Q33" i="1" s="1"/>
  <c r="CP33" i="1" s="1"/>
  <c r="O33" i="1" s="1"/>
  <c r="H124" i="5" s="1"/>
  <c r="CP32" i="1"/>
  <c r="O32" i="1" s="1"/>
  <c r="H106" i="5" s="1"/>
  <c r="AB31" i="1"/>
  <c r="G105" i="5" s="1"/>
  <c r="AB29" i="1"/>
  <c r="G84" i="5" s="1"/>
  <c r="BB43" i="1"/>
  <c r="CY31" i="1"/>
  <c r="X31" i="1" s="1"/>
  <c r="CZ31" i="1"/>
  <c r="Y31" i="1" s="1"/>
  <c r="CP31" i="1"/>
  <c r="O31" i="1" s="1"/>
  <c r="H105" i="5" s="1"/>
  <c r="CY26" i="1"/>
  <c r="X26" i="1" s="1"/>
  <c r="CZ26" i="1"/>
  <c r="Y26" i="1" s="1"/>
  <c r="CX42" i="3"/>
  <c r="CX44" i="3"/>
  <c r="CX46" i="3"/>
  <c r="CX48" i="3"/>
  <c r="CX50" i="3"/>
  <c r="CX43" i="3"/>
  <c r="CX45" i="3"/>
  <c r="CX47" i="3"/>
  <c r="CX49" i="3"/>
  <c r="AB28" i="1"/>
  <c r="G77" i="5" s="1"/>
  <c r="CS27" i="1"/>
  <c r="R27" i="1" s="1"/>
  <c r="GK27" i="1" s="1"/>
  <c r="CQ27" i="1"/>
  <c r="P27" i="1" s="1"/>
  <c r="CP27" i="1" s="1"/>
  <c r="O27" i="1" s="1"/>
  <c r="H61" i="5" s="1"/>
  <c r="CX22" i="3"/>
  <c r="CX24" i="3"/>
  <c r="CX26" i="3"/>
  <c r="CX28" i="3"/>
  <c r="CX23" i="3"/>
  <c r="CX25" i="3"/>
  <c r="CX27" i="3"/>
  <c r="CX29" i="3"/>
  <c r="CR26" i="1"/>
  <c r="Q26" i="1" s="1"/>
  <c r="CP26" i="1" s="1"/>
  <c r="O26" i="1" s="1"/>
  <c r="H60" i="5" s="1"/>
  <c r="CR25" i="1"/>
  <c r="Q25" i="1" s="1"/>
  <c r="CS25" i="1"/>
  <c r="R25" i="1" s="1"/>
  <c r="AB24" i="1"/>
  <c r="G21" i="5" s="1"/>
  <c r="CS30" i="1"/>
  <c r="R30" i="1" s="1"/>
  <c r="GK30" i="1" s="1"/>
  <c r="CQ30" i="1"/>
  <c r="P30" i="1" s="1"/>
  <c r="CP30" i="1" s="1"/>
  <c r="O30" i="1" s="1"/>
  <c r="H104" i="5" s="1"/>
  <c r="CS29" i="1"/>
  <c r="R29" i="1" s="1"/>
  <c r="GK29" i="1" s="1"/>
  <c r="CQ29" i="1"/>
  <c r="P29" i="1" s="1"/>
  <c r="CP29" i="1" s="1"/>
  <c r="O29" i="1" s="1"/>
  <c r="H84" i="5" s="1"/>
  <c r="CX32" i="3"/>
  <c r="CX34" i="3"/>
  <c r="CX36" i="3"/>
  <c r="CX38" i="3"/>
  <c r="CX40" i="3"/>
  <c r="CX31" i="3"/>
  <c r="CX33" i="3"/>
  <c r="CX35" i="3"/>
  <c r="CX37" i="3"/>
  <c r="CX39" i="3"/>
  <c r="CX41" i="3"/>
  <c r="AB25" i="1"/>
  <c r="G44" i="5" s="1"/>
  <c r="CQ25" i="1"/>
  <c r="P25" i="1" s="1"/>
  <c r="CZ24" i="1"/>
  <c r="Y24" i="1" s="1"/>
  <c r="CY24" i="1"/>
  <c r="X24" i="1" s="1"/>
  <c r="H41" i="5" s="1"/>
  <c r="CP24" i="1"/>
  <c r="O24" i="1" s="1"/>
  <c r="H21" i="5" s="1"/>
  <c r="CX21" i="3"/>
  <c r="CX19" i="3"/>
  <c r="CX17" i="3"/>
  <c r="CX15" i="3"/>
  <c r="CX20" i="3"/>
  <c r="CX18" i="3"/>
  <c r="CX16" i="3"/>
  <c r="H160" i="5" l="1"/>
  <c r="H166" i="5"/>
  <c r="H42" i="5"/>
  <c r="H43" i="5"/>
  <c r="AD43" i="1"/>
  <c r="AD22" i="1" s="1"/>
  <c r="GM28" i="1"/>
  <c r="CZ32" i="1"/>
  <c r="Y32" i="1" s="1"/>
  <c r="H146" i="5"/>
  <c r="H152" i="5"/>
  <c r="H153" i="5"/>
  <c r="H159" i="5"/>
  <c r="AQ43" i="1"/>
  <c r="AQ22" i="1" s="1"/>
  <c r="CG43" i="1"/>
  <c r="AX43" i="1" s="1"/>
  <c r="GN28" i="1"/>
  <c r="H77" i="5"/>
  <c r="AP43" i="1"/>
  <c r="F52" i="1" s="1"/>
  <c r="G16" i="2" s="1"/>
  <c r="G18" i="2" s="1"/>
  <c r="CI43" i="1"/>
  <c r="CI22" i="1" s="1"/>
  <c r="AT43" i="1"/>
  <c r="AT22" i="1" s="1"/>
  <c r="AU43" i="1"/>
  <c r="F62" i="1" s="1"/>
  <c r="CY32" i="1"/>
  <c r="X32" i="1" s="1"/>
  <c r="GN33" i="1"/>
  <c r="GM33" i="1"/>
  <c r="GN26" i="1"/>
  <c r="GM26" i="1"/>
  <c r="CZ29" i="1"/>
  <c r="Y29" i="1" s="1"/>
  <c r="GN31" i="1"/>
  <c r="GM31" i="1"/>
  <c r="BB22" i="1"/>
  <c r="F56" i="1"/>
  <c r="BB74" i="1"/>
  <c r="CY27" i="1"/>
  <c r="X27" i="1" s="1"/>
  <c r="H74" i="5" s="1"/>
  <c r="CY30" i="1"/>
  <c r="X30" i="1" s="1"/>
  <c r="BC22" i="1"/>
  <c r="F59" i="1"/>
  <c r="BC74" i="1"/>
  <c r="AJ22" i="1"/>
  <c r="W43" i="1"/>
  <c r="CJ22" i="1"/>
  <c r="BA43" i="1"/>
  <c r="CZ35" i="1"/>
  <c r="Y35" i="1" s="1"/>
  <c r="CY34" i="1"/>
  <c r="X34" i="1" s="1"/>
  <c r="H141" i="5" s="1"/>
  <c r="CZ36" i="1"/>
  <c r="Y36" i="1" s="1"/>
  <c r="GM38" i="1"/>
  <c r="GN38" i="1"/>
  <c r="GM40" i="1"/>
  <c r="GN40" i="1"/>
  <c r="GM24" i="1"/>
  <c r="GN24" i="1"/>
  <c r="CP25" i="1"/>
  <c r="O25" i="1" s="1"/>
  <c r="H44" i="5" s="1"/>
  <c r="AC43" i="1"/>
  <c r="CY25" i="1"/>
  <c r="X25" i="1" s="1"/>
  <c r="H57" i="5" s="1"/>
  <c r="CZ25" i="1"/>
  <c r="Y25" i="1" s="1"/>
  <c r="GK25" i="1"/>
  <c r="AE43" i="1"/>
  <c r="CY29" i="1"/>
  <c r="X29" i="1" s="1"/>
  <c r="H101" i="5" s="1"/>
  <c r="CZ27" i="1"/>
  <c r="Y27" i="1" s="1"/>
  <c r="CZ30" i="1"/>
  <c r="Y30" i="1" s="1"/>
  <c r="AO22" i="1"/>
  <c r="F47" i="1"/>
  <c r="AO74" i="1"/>
  <c r="AF22" i="1"/>
  <c r="S43" i="1"/>
  <c r="AH22" i="1"/>
  <c r="U43" i="1"/>
  <c r="AI22" i="1"/>
  <c r="V43" i="1"/>
  <c r="CY35" i="1"/>
  <c r="X35" i="1" s="1"/>
  <c r="GM37" i="1"/>
  <c r="GN37" i="1"/>
  <c r="AG22" i="1"/>
  <c r="T43" i="1"/>
  <c r="CZ34" i="1"/>
  <c r="Y34" i="1" s="1"/>
  <c r="CY36" i="1"/>
  <c r="X36" i="1" s="1"/>
  <c r="GM36" i="1" s="1"/>
  <c r="GM39" i="1"/>
  <c r="GN39" i="1"/>
  <c r="GM41" i="1"/>
  <c r="GN41" i="1"/>
  <c r="GM35" i="1" l="1"/>
  <c r="AP22" i="1"/>
  <c r="Q43" i="1"/>
  <c r="Q74" i="1" s="1"/>
  <c r="CG22" i="1"/>
  <c r="AZ43" i="1"/>
  <c r="AZ22" i="1" s="1"/>
  <c r="H75" i="5"/>
  <c r="H76" i="5"/>
  <c r="H59" i="5"/>
  <c r="H58" i="5"/>
  <c r="H102" i="5"/>
  <c r="H103" i="5"/>
  <c r="H142" i="5"/>
  <c r="H143" i="5"/>
  <c r="GM32" i="1"/>
  <c r="H121" i="5"/>
  <c r="H122" i="5"/>
  <c r="H123" i="5"/>
  <c r="GN32" i="1"/>
  <c r="GM30" i="1"/>
  <c r="GM29" i="1"/>
  <c r="F53" i="1"/>
  <c r="AQ74" i="1"/>
  <c r="F84" i="1" s="1"/>
  <c r="AU22" i="1"/>
  <c r="AP74" i="1"/>
  <c r="F83" i="1" s="1"/>
  <c r="AT74" i="1"/>
  <c r="AT18" i="1" s="1"/>
  <c r="F61" i="1"/>
  <c r="F16" i="2" s="1"/>
  <c r="F18" i="2" s="1"/>
  <c r="AU74" i="1"/>
  <c r="F93" i="1" s="1"/>
  <c r="AK43" i="1"/>
  <c r="X43" i="1" s="1"/>
  <c r="GM34" i="1"/>
  <c r="AL43" i="1"/>
  <c r="Y43" i="1" s="1"/>
  <c r="GN27" i="1"/>
  <c r="V22" i="1"/>
  <c r="F66" i="1"/>
  <c r="H182" i="5" s="1"/>
  <c r="V74" i="1"/>
  <c r="U22" i="1"/>
  <c r="U74" i="1"/>
  <c r="F65" i="1"/>
  <c r="S22" i="1"/>
  <c r="F58" i="1"/>
  <c r="S74" i="1"/>
  <c r="AX22" i="1"/>
  <c r="F50" i="1"/>
  <c r="AX74" i="1"/>
  <c r="GN36" i="1"/>
  <c r="GN35" i="1"/>
  <c r="GN34" i="1"/>
  <c r="AE22" i="1"/>
  <c r="R43" i="1"/>
  <c r="AC22" i="1"/>
  <c r="P43" i="1"/>
  <c r="CF43" i="1"/>
  <c r="CH43" i="1"/>
  <c r="CE43" i="1"/>
  <c r="GM27" i="1"/>
  <c r="GN30" i="1"/>
  <c r="GN29" i="1"/>
  <c r="T22" i="1"/>
  <c r="F64" i="1"/>
  <c r="T74" i="1"/>
  <c r="AO18" i="1"/>
  <c r="F78" i="1"/>
  <c r="GN25" i="1"/>
  <c r="GM25" i="1"/>
  <c r="AB43" i="1"/>
  <c r="BA22" i="1"/>
  <c r="F63" i="1"/>
  <c r="H16" i="2" s="1"/>
  <c r="H18" i="2" s="1"/>
  <c r="BA74" i="1"/>
  <c r="W22" i="1"/>
  <c r="W74" i="1"/>
  <c r="F67" i="1"/>
  <c r="F54" i="1"/>
  <c r="BC18" i="1"/>
  <c r="F90" i="1"/>
  <c r="BB18" i="1"/>
  <c r="F87" i="1"/>
  <c r="Q22" i="1"/>
  <c r="F55" i="1"/>
  <c r="H177" i="5" s="1"/>
  <c r="AP18" i="1" l="1"/>
  <c r="AZ74" i="1"/>
  <c r="AZ18" i="1" s="1"/>
  <c r="J16" i="2"/>
  <c r="J18" i="2" s="1"/>
  <c r="H179" i="5"/>
  <c r="G16" i="5"/>
  <c r="H181" i="5"/>
  <c r="G15" i="5"/>
  <c r="AQ18" i="1"/>
  <c r="AU18" i="1"/>
  <c r="AK22" i="1"/>
  <c r="CA43" i="1"/>
  <c r="CA22" i="1" s="1"/>
  <c r="F92" i="1"/>
  <c r="AL22" i="1"/>
  <c r="CB43" i="1"/>
  <c r="CB22" i="1" s="1"/>
  <c r="CE22" i="1"/>
  <c r="AV43" i="1"/>
  <c r="CF22" i="1"/>
  <c r="AW43" i="1"/>
  <c r="AX18" i="1"/>
  <c r="F81" i="1"/>
  <c r="Y22" i="1"/>
  <c r="Y74" i="1"/>
  <c r="F69" i="1"/>
  <c r="H184" i="5" s="1"/>
  <c r="X22" i="1"/>
  <c r="F68" i="1"/>
  <c r="H183" i="5" s="1"/>
  <c r="X74" i="1"/>
  <c r="Q18" i="1"/>
  <c r="F86" i="1"/>
  <c r="W18" i="1"/>
  <c r="F98" i="1"/>
  <c r="BA18" i="1"/>
  <c r="F94" i="1"/>
  <c r="AB22" i="1"/>
  <c r="O43" i="1"/>
  <c r="T18" i="1"/>
  <c r="F95" i="1"/>
  <c r="CH22" i="1"/>
  <c r="AY43" i="1"/>
  <c r="P22" i="1"/>
  <c r="F46" i="1"/>
  <c r="H173" i="5" s="1"/>
  <c r="P74" i="1"/>
  <c r="R22" i="1"/>
  <c r="F57" i="1"/>
  <c r="H178" i="5" s="1"/>
  <c r="R74" i="1"/>
  <c r="S18" i="1"/>
  <c r="F89" i="1"/>
  <c r="U18" i="1"/>
  <c r="F96" i="1"/>
  <c r="V18" i="1"/>
  <c r="F97" i="1"/>
  <c r="F85" i="1" l="1"/>
  <c r="AR43" i="1"/>
  <c r="F70" i="1" s="1"/>
  <c r="H185" i="5" s="1"/>
  <c r="AS43" i="1"/>
  <c r="F60" i="1" s="1"/>
  <c r="AY22" i="1"/>
  <c r="F51" i="1"/>
  <c r="H176" i="5" s="1"/>
  <c r="AY74" i="1"/>
  <c r="O22" i="1"/>
  <c r="O74" i="1"/>
  <c r="F45" i="1"/>
  <c r="H172" i="5" s="1"/>
  <c r="X18" i="1"/>
  <c r="F99" i="1"/>
  <c r="Y18" i="1"/>
  <c r="F100" i="1"/>
  <c r="AW22" i="1"/>
  <c r="F49" i="1"/>
  <c r="H175" i="5" s="1"/>
  <c r="AW74" i="1"/>
  <c r="AV22" i="1"/>
  <c r="F48" i="1"/>
  <c r="H174" i="5" s="1"/>
  <c r="AV74" i="1"/>
  <c r="AR22" i="1"/>
  <c r="AS22" i="1"/>
  <c r="R18" i="1"/>
  <c r="F88" i="1"/>
  <c r="P18" i="1"/>
  <c r="F77" i="1"/>
  <c r="E16" i="2" l="1"/>
  <c r="E18" i="2" s="1"/>
  <c r="H180" i="5"/>
  <c r="AR74" i="1"/>
  <c r="AR18" i="1" s="1"/>
  <c r="AS74" i="1"/>
  <c r="AS18" i="1" s="1"/>
  <c r="F71" i="1"/>
  <c r="AV18" i="1"/>
  <c r="F79" i="1"/>
  <c r="AW18" i="1"/>
  <c r="F80" i="1"/>
  <c r="O18" i="1"/>
  <c r="F76" i="1"/>
  <c r="AY18" i="1"/>
  <c r="F82" i="1"/>
  <c r="I16" i="2" l="1"/>
  <c r="I18" i="2" s="1"/>
  <c r="F72" i="1"/>
  <c r="H186" i="5"/>
  <c r="F101" i="1"/>
  <c r="F102" i="1" s="1"/>
  <c r="F103" i="1" s="1"/>
  <c r="F91" i="1"/>
  <c r="H2" i="5" l="1"/>
  <c r="H187" i="5"/>
  <c r="G12" i="5"/>
</calcChain>
</file>

<file path=xl/sharedStrings.xml><?xml version="1.0" encoding="utf-8"?>
<sst xmlns="http://schemas.openxmlformats.org/spreadsheetml/2006/main" count="2095" uniqueCount="465">
  <si>
    <t>Smeta.RU  (495) 974-1589</t>
  </si>
  <si>
    <t>_PS_</t>
  </si>
  <si>
    <t>Smeta.RU</t>
  </si>
  <si>
    <t/>
  </si>
  <si>
    <t>Новый объект_(Копия)</t>
  </si>
  <si>
    <t>Обелиск 9.06.2020 новый красный_(Копия)</t>
  </si>
  <si>
    <t>Сметные нормы списания</t>
  </si>
  <si>
    <t>Коды ценников</t>
  </si>
  <si>
    <t>ГЭСН-2014</t>
  </si>
  <si>
    <t>ТР для Версии 10: Центральные регионы (с уч. п-ма 2536-ИП/12/ГС от 27.11.12, 01/57049-ЮЛ от 27.04.2018) от 30.08.2018 г</t>
  </si>
  <si>
    <t>ГЭСН-2001 (редакция 2014г)</t>
  </si>
  <si>
    <t>ГЭСН-2001 (редакция 2014 г)</t>
  </si>
  <si>
    <t>Поправки  для НБ 2014 года от 17.02.2017</t>
  </si>
  <si>
    <t>Новая локальная смета</t>
  </si>
  <si>
    <t>1</t>
  </si>
  <si>
    <t>05-01-002-4</t>
  </si>
  <si>
    <t>Погружение свай винтовых размером 89*3*1450 мм</t>
  </si>
  <si>
    <t>1 м3 свай</t>
  </si>
  <si>
    <t>ГЭСН-2001, 05-01-002-4, приказ Минстроя России №41/пр от 24.01.2017 г.</t>
  </si>
  <si>
    <t>Общестроительные работы</t>
  </si>
  <si>
    <t>Свайные работы</t>
  </si>
  <si>
    <t>ФЕР-05</t>
  </si>
  <si>
    <t>*0,9</t>
  </si>
  <si>
    <t>*0,85</t>
  </si>
  <si>
    <t>2</t>
  </si>
  <si>
    <t>06-01-001-1</t>
  </si>
  <si>
    <t>Устройство бетонной подготовки</t>
  </si>
  <si>
    <t>100 м3 бетона, бутобетона и железобетона в деле</t>
  </si>
  <si>
    <t>ГЭСН-2001, 06-01-001-1, приказ Минстроя России №41/пр от 24.01.2017 г.</t>
  </si>
  <si>
    <t>Монолитные бетонные и железобетонные конструкции в промышленном строительстве</t>
  </si>
  <si>
    <t>ФЕР-06</t>
  </si>
  <si>
    <t>3</t>
  </si>
  <si>
    <t>401-0068</t>
  </si>
  <si>
    <t>Бетон тяжелый, крупность заполнителя 20 мм, класс В22,5 (М300)</t>
  </si>
  <si>
    <t>м3</t>
  </si>
  <si>
    <t>ФССЦ-2001, 401-0068, приказ Минстроя России №41/пр от 24.01.2017 г.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</si>
  <si>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</si>
  <si>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</si>
  <si>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</si>
  <si>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4</t>
  </si>
  <si>
    <t>Заливка опалубки</t>
  </si>
  <si>
    <t>5</t>
  </si>
  <si>
    <t>т03-21-01-019</t>
  </si>
  <si>
    <t>Доставка бетона</t>
  </si>
  <si>
    <t>1 Т ГРУЗА</t>
  </si>
  <si>
    <t>ГССЦпг-2001, т03-21-01-019, приказ Минстроя России №41/пр от 24.01.2017 г.</t>
  </si>
  <si>
    <t>Перевозка грузов авто/транспортом</t>
  </si>
  <si>
    <t>Перевозкуа грузов (ФССЦпр-2011 - изм. 7, разделы 1-4) - по сметной стоимости</t>
  </si>
  <si>
    <t>ФССЦпр , изм. 7</t>
  </si>
  <si>
    <t>6</t>
  </si>
  <si>
    <t>06-01-012-1</t>
  </si>
  <si>
    <t>Устройство опалубки</t>
  </si>
  <si>
    <t>100 м2 площади горизонтальной проекции ростверков</t>
  </si>
  <si>
    <t>ГЭСН-2001, 06-01-012-1, приказ Минстроя России №41/пр от 24.01.2017 г.</t>
  </si>
  <si>
    <t>7</t>
  </si>
  <si>
    <t>102-0053</t>
  </si>
  <si>
    <t>Доски обрезные хвойных пород длиной 4-6,5 м, шириной 75-150 мм</t>
  </si>
  <si>
    <t>ФССЦ-2001, 102-0053, приказ Минстроя России №41/пр от 24.01.2017 г.</t>
  </si>
  <si>
    <t>8</t>
  </si>
  <si>
    <t>101-1805</t>
  </si>
  <si>
    <t>Саморезы</t>
  </si>
  <si>
    <t>т</t>
  </si>
  <si>
    <t>ФССЦ-2001, 101-1805, приказ Минстроя России №41/пр от 24.01.2017 г.</t>
  </si>
  <si>
    <t>9</t>
  </si>
  <si>
    <t>27-07-005-1</t>
  </si>
  <si>
    <t>Устройство покрытий из гранитной  плитки</t>
  </si>
  <si>
    <t>10 м2</t>
  </si>
  <si>
    <t>ГЭСН-2001, 27-07-005-1, приказ Минстроя России №41/пр от 24.01.2017 г.</t>
  </si>
  <si>
    <t>Автомобильные дороги</t>
  </si>
  <si>
    <t>ФЕР-27</t>
  </si>
  <si>
    <t>10</t>
  </si>
  <si>
    <t>Прайс-лист</t>
  </si>
  <si>
    <t>Гранит Shanxi Black 60*60*2  см</t>
  </si>
  <si>
    <t>м2</t>
  </si>
  <si>
    <t>Материалы, изделия и конструкции</t>
  </si>
  <si>
    <t>материалы (03)</t>
  </si>
  <si>
    <t>5 840</t>
  </si>
  <si>
    <t>11</t>
  </si>
  <si>
    <t>07-01-001-1</t>
  </si>
  <si>
    <t>Монтаж  плит</t>
  </si>
  <si>
    <t>100 шт. сборных конструкций</t>
  </si>
  <si>
    <t>ГЭСН-2001, 07-01-001-1, приказ Минстроя России №41/пр от 24.01.2017 г.</t>
  </si>
  <si>
    <t>Сборные бетонные конструкции в промышленном строительстве  ( Произоводственные здания и сооружения )</t>
  </si>
  <si>
    <t>ФЕР-07</t>
  </si>
  <si>
    <t>12</t>
  </si>
  <si>
    <t>Гранит  Shanxi Black 3260*1980*30 мм</t>
  </si>
  <si>
    <t>ШТ</t>
  </si>
  <si>
    <t>92 700</t>
  </si>
  <si>
    <t>13</t>
  </si>
  <si>
    <t>Гранит Империал ред Карнатака (Индия) 3000*2000*30 мм</t>
  </si>
  <si>
    <t>102 400</t>
  </si>
  <si>
    <t>14</t>
  </si>
  <si>
    <t>Доставка  гранитной плитки 60*60*2 см</t>
  </si>
  <si>
    <t>15</t>
  </si>
  <si>
    <t>Доставка гранита</t>
  </si>
  <si>
    <t>16</t>
  </si>
  <si>
    <t>Доставка барельефа</t>
  </si>
  <si>
    <t>17</t>
  </si>
  <si>
    <t>Калькуляция № 1</t>
  </si>
  <si>
    <t>Барельеф Воин 1600*900*80 мм (мрамор Коелга фрезерной работы)</t>
  </si>
  <si>
    <t>170 000</t>
  </si>
  <si>
    <t>18</t>
  </si>
  <si>
    <t>Калькуляция № 2</t>
  </si>
  <si>
    <t>Гравировка</t>
  </si>
  <si>
    <t>150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</si>
  <si>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</si>
  <si>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</si>
  <si>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</si>
  <si>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</si>
  <si>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</si>
  <si>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</si>
  <si>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</si>
  <si>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</si>
  <si>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</si>
  <si>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</si>
  <si>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</si>
  <si>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</si>
  <si>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</si>
  <si>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</si>
  <si>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</si>
  <si>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</si>
  <si>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</si>
  <si>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</si>
  <si>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</si>
  <si>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</si>
  <si>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</si>
  <si>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</si>
  <si>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</si>
  <si>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</si>
  <si>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</si>
  <si>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</si>
  <si>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</si>
  <si>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</si>
  <si>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</si>
  <si>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</si>
  <si>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</si>
  <si>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</si>
  <si>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</si>
  <si>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</si>
  <si>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</si>
  <si>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</si>
  <si>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</si>
  <si>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</si>
  <si>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</si>
  <si>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</si>
  <si>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</si>
  <si>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</si>
  <si>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</si>
  <si>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</si>
  <si>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</si>
  <si>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</si>
  <si>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</si>
  <si>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</si>
  <si>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</si>
  <si>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</si>
  <si>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</si>
  <si>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</si>
  <si>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НДС</t>
  </si>
  <si>
    <t>НДС 20%</t>
  </si>
  <si>
    <t>с НДС</t>
  </si>
  <si>
    <t>Итого с НДС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</si>
  <si>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</si>
  <si>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</si>
  <si>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</si>
  <si>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</si>
  <si>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</si>
  <si>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</si>
  <si>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</si>
  <si>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</si>
  <si>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</si>
  <si>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</si>
  <si>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</si>
  <si>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</si>
  <si>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</si>
  <si>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</si>
  <si>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</si>
  <si>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</si>
  <si>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</si>
  <si>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</si>
  <si>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</si>
  <si>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</si>
  <si>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</si>
  <si>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</si>
  <si>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</si>
  <si>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</si>
  <si>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</si>
  <si>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</si>
  <si>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</si>
  <si>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</si>
  <si>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</si>
  <si>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</si>
  <si>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</si>
  <si>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</si>
  <si>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</si>
  <si>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</si>
  <si>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</si>
  <si>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</si>
  <si>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</si>
  <si>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</si>
  <si>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</si>
  <si>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</si>
  <si>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</si>
  <si>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</si>
  <si>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</si>
  <si>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</si>
  <si>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</si>
  <si>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</si>
  <si>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</si>
  <si>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</si>
  <si>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</si>
  <si>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</si>
  <si>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</si>
  <si>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</si>
  <si>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</si>
  <si>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</si>
  <si>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</si>
  <si>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</si>
  <si>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</si>
  <si>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</si>
  <si>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</si>
  <si>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</si>
  <si>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</si>
  <si>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</si>
  <si>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Вид цен</t>
  </si>
  <si>
    <t>1й_квартал_2020-с транспортно-заготовительными расходами на материалы_ФСНБ-2014</t>
  </si>
  <si>
    <t>_OBSM_</t>
  </si>
  <si>
    <t>1-1039</t>
  </si>
  <si>
    <t>Рабочий строитель среднего разряда 3,9</t>
  </si>
  <si>
    <t>чел.-ч</t>
  </si>
  <si>
    <t>Затраты труда машинистов</t>
  </si>
  <si>
    <t>чел.час</t>
  </si>
  <si>
    <t>021243</t>
  </si>
  <si>
    <t>ФСЭМ-2001, 021243, приказ Минстроя России №41/пр от 24.01.2017 г.</t>
  </si>
  <si>
    <t>Краны на гусеничном ходу при работе на других видах строительства до 16 т</t>
  </si>
  <si>
    <t>маш.-ч</t>
  </si>
  <si>
    <t>140101</t>
  </si>
  <si>
    <t>ФСЭМ-2001, 140101, приказ Минстроя России №41/пр от 24.01.2017 г.</t>
  </si>
  <si>
    <t>Агрегаты копровые без дизель-молота на базе экскаватора 0,65 м3</t>
  </si>
  <si>
    <t>140504</t>
  </si>
  <si>
    <t>ФСЭМ-2001, 140504, приказ Минстроя России №41/пр от 24.01.2017 г.</t>
  </si>
  <si>
    <t>Дизель-молоты 2,5 т</t>
  </si>
  <si>
    <t>150702</t>
  </si>
  <si>
    <t>ФСЭМ-2001, 150702, приказ Минстроя России №41/пр от 24.01.2017 г.</t>
  </si>
  <si>
    <t>Трубоукладчики для труб диаметром до 700 мм грузоподъемностью 12,5 т</t>
  </si>
  <si>
    <t>400101</t>
  </si>
  <si>
    <t>ФСЭМ-2001, 400101, приказ Минстроя России №41/пр от 24.01.2017 г.</t>
  </si>
  <si>
    <t>Тягачи седельные, грузоподъемность 12 т</t>
  </si>
  <si>
    <t>400111</t>
  </si>
  <si>
    <t>ФСЭМ-2001, 400111, приказ Минстроя России №41/пр от 24.01.2017 г.</t>
  </si>
  <si>
    <t>Полуприцепы общего назначения, грузоподъемность 12 т</t>
  </si>
  <si>
    <t>101-0388</t>
  </si>
  <si>
    <t>ФССЦ-2001, 101-0388, приказ Минстроя России №41/пр от 24.01.2017 г.</t>
  </si>
  <si>
    <t>Краски масляные земляные марки МА-0115 мумия, сурик железный</t>
  </si>
  <si>
    <t>Гвозди строительные</t>
  </si>
  <si>
    <t>102-8009</t>
  </si>
  <si>
    <t>ФССЦ-2001, 102-8009, приказ Минстроя России №41/пр от 24.01.2017 г.</t>
  </si>
  <si>
    <t>Доски дубовые II сорта</t>
  </si>
  <si>
    <t>201-0774</t>
  </si>
  <si>
    <t>ФССЦ-2001, 201-0774, приказ Минстроя России №41/пр от 24.01.2017 г.</t>
  </si>
  <si>
    <t>Конструктивные элементы вспомогательного назначения массой не более 50 кг с преобладанием толстолистовой стали собираемые из двух и более деталей, с отверстиями и без отверстий, соединяемые на сварке</t>
  </si>
  <si>
    <t>403-9132</t>
  </si>
  <si>
    <t>ФССЦ-2001, 403-9132, приказ Минстроя России №41/пр от 24.01.2017 г.</t>
  </si>
  <si>
    <t>Сваи железобетонные</t>
  </si>
  <si>
    <t>1-1020</t>
  </si>
  <si>
    <t>Рабочий строитель среднего разряда 2</t>
  </si>
  <si>
    <t>020129</t>
  </si>
  <si>
    <t>ФСЭМ-2001, 020129, приказ Минстроя России №41/пр от 24.01.2017 г.</t>
  </si>
  <si>
    <t>Краны башенные при работе на других видах строительства 8 т</t>
  </si>
  <si>
    <t>111301</t>
  </si>
  <si>
    <t>ФСЭМ-2001, 111301, приказ Минстроя России №41/пр от 24.01.2017 г.</t>
  </si>
  <si>
    <t>Вибратор поверхностный</t>
  </si>
  <si>
    <t>400001</t>
  </si>
  <si>
    <t>ФСЭМ-2001, 400001, приказ Минстроя России №41/пр от 24.01.2017 г.</t>
  </si>
  <si>
    <t>Автомобили бортовые, грузоподъемность до 5 т</t>
  </si>
  <si>
    <t>101-1668</t>
  </si>
  <si>
    <t>ФССЦ-2001, 101-1668, приказ Минстроя России №41/пр от 24.01.2017 г.</t>
  </si>
  <si>
    <t>Рогожа</t>
  </si>
  <si>
    <t>401-9021</t>
  </si>
  <si>
    <t>ФССЦ-2001, 401-9021, приказ Минстроя России №41/пр от 24.01.2017 г.</t>
  </si>
  <si>
    <t>Бетон</t>
  </si>
  <si>
    <t>411-0001</t>
  </si>
  <si>
    <t>ФССЦ-2001, 411-0001, приказ Минстроя России №41/пр от 24.01.2017 г.</t>
  </si>
  <si>
    <t>Вода</t>
  </si>
  <si>
    <t>400052</t>
  </si>
  <si>
    <t>ФСЭМ-2001, 400052, приказ Минстроя России №41/пр от 24.01.2017 г.</t>
  </si>
  <si>
    <t>Автомобиль-самосвал, грузоподъемность до 10 т</t>
  </si>
  <si>
    <t>1-1029</t>
  </si>
  <si>
    <t>Рабочий строитель среднего разряда 2,9</t>
  </si>
  <si>
    <t>021141</t>
  </si>
  <si>
    <t>ФСЭМ-2001, 021141, приказ Минстроя России №41/пр от 24.01.2017 г.</t>
  </si>
  <si>
    <t>Краны на автомобильном ходу при работе на других видах строительства 10 т</t>
  </si>
  <si>
    <t>030101</t>
  </si>
  <si>
    <t>ФСЭМ-2001, 030101, приказ Минстроя России №41/пр от 24.01.2017 г.</t>
  </si>
  <si>
    <t>Автопогрузчики 5 т</t>
  </si>
  <si>
    <t>Доски обрезные хвойных пород длиной 4-6,5 м, шириной 75-150 мм, толщиной 25 мм, III сорта</t>
  </si>
  <si>
    <t>102-0061</t>
  </si>
  <si>
    <t>ФССЦ-2001, 102-0061, приказ Минстроя России №41/пр от 24.01.2017 г.</t>
  </si>
  <si>
    <t>Доски обрезные хвойных пород длиной 4-6,5 м, шириной 75-150 мм, толщиной 44 мм и более, III сорта</t>
  </si>
  <si>
    <t>203-0512</t>
  </si>
  <si>
    <t>ФССЦ-2001, 203-0512, приказ Минстроя России №41/пр от 24.01.2017 г.</t>
  </si>
  <si>
    <t>Щиты из досок толщиной 40 мм</t>
  </si>
  <si>
    <t>405-0253</t>
  </si>
  <si>
    <t>ФССЦ-2001, 405-0253, приказ Минстроя России №41/пр от 24.01.2017 г.</t>
  </si>
  <si>
    <t>Известь строительная негашеная комовая, сорт I</t>
  </si>
  <si>
    <t>121601</t>
  </si>
  <si>
    <t>ФСЭМ-2001, 121601, приказ Минстроя России №41/пр от 24.01.2017 г.</t>
  </si>
  <si>
    <t>Машины поливомоечные 6000 л</t>
  </si>
  <si>
    <t>122899</t>
  </si>
  <si>
    <t>ФСЭМ-2001, 122899, приказ Минстроя России №41/пр от 24.01.2017 г.</t>
  </si>
  <si>
    <t>Виброплита электрическая</t>
  </si>
  <si>
    <t>403-9137</t>
  </si>
  <si>
    <t>ФССЦ-2001, 403-9137, приказ Минстроя России №41/пр от 24.01.2017 г.</t>
  </si>
  <si>
    <t>Плитка тротуарная</t>
  </si>
  <si>
    <t>408-0122</t>
  </si>
  <si>
    <t>ФССЦ-2001, 408-0122, приказ Минстроя России №41/пр от 24.01.2017 г.</t>
  </si>
  <si>
    <t>Песок природный для строительных работ средний</t>
  </si>
  <si>
    <t>1-1032</t>
  </si>
  <si>
    <t>Рабочий строитель среднего разряда 3,2</t>
  </si>
  <si>
    <t>050101</t>
  </si>
  <si>
    <t>ФСЭМ-2001, 050101, приказ Минстроя России №41/пр от 24.01.2017 г.</t>
  </si>
  <si>
    <t>Компрессоры передвижные с двигателем внутреннего сгорания давлением до 686 кПа (7 ат), производительность  до 5 м3/мин</t>
  </si>
  <si>
    <t>331101</t>
  </si>
  <si>
    <t>ФСЭМ-2001, 331101, приказ Минстроя России №41/пр от 24.01.2017 г.</t>
  </si>
  <si>
    <t>Трамбовки пневматические при работе от стационарного компрессора</t>
  </si>
  <si>
    <t>403-9020</t>
  </si>
  <si>
    <t>ФССЦ-2001, 403-9020, приказ Минстроя России №41/пр от 24.01.2017 г.</t>
  </si>
  <si>
    <t>Конструкции сборные железобетонные</t>
  </si>
  <si>
    <t>шт.</t>
  </si>
  <si>
    <t>408-9040</t>
  </si>
  <si>
    <t>ФССЦ-2001, 408-9040, приказ Минстроя России №41/пр от 24.01.2017 г.</t>
  </si>
  <si>
    <t>Песок для строительных работ природный</t>
  </si>
  <si>
    <t>Утверждаю</t>
  </si>
  <si>
    <t>Смету в сумме</t>
  </si>
  <si>
    <t>'____' ___________ 2020 г.</t>
  </si>
  <si>
    <t>Согласовано</t>
  </si>
  <si>
    <t xml:space="preserve">Сметная стоимость </t>
  </si>
  <si>
    <t xml:space="preserve">в т.ч. монтажных работ </t>
  </si>
  <si>
    <t xml:space="preserve">в т.ч. оборудования </t>
  </si>
  <si>
    <t xml:space="preserve">Нормативная трудоемкость </t>
  </si>
  <si>
    <t xml:space="preserve">Средства на оплату труда </t>
  </si>
  <si>
    <t>№ п/п</t>
  </si>
  <si>
    <t>Шифр и номер позиции норматива</t>
  </si>
  <si>
    <t>Наименование работ и затрат</t>
  </si>
  <si>
    <t>Ед. изм.</t>
  </si>
  <si>
    <t>Количество</t>
  </si>
  <si>
    <t>Сметная стоимость в текущих ценах</t>
  </si>
  <si>
    <t>на единицу измерения</t>
  </si>
  <si>
    <t>по проектным данным</t>
  </si>
  <si>
    <t>всего</t>
  </si>
  <si>
    <t>1.1</t>
  </si>
  <si>
    <t>1.2</t>
  </si>
  <si>
    <t>Машины и механизмы:</t>
  </si>
  <si>
    <t>1.3</t>
  </si>
  <si>
    <t>1.4</t>
  </si>
  <si>
    <t>1.5</t>
  </si>
  <si>
    <t>1.6</t>
  </si>
  <si>
    <t>1.7</t>
  </si>
  <si>
    <t>1.8</t>
  </si>
  <si>
    <t>Материалы:</t>
  </si>
  <si>
    <t>1.9</t>
  </si>
  <si>
    <t>1.10</t>
  </si>
  <si>
    <t>1.11</t>
  </si>
  <si>
    <t>1.12</t>
  </si>
  <si>
    <t>1.13</t>
  </si>
  <si>
    <t>Итого с НР и СП</t>
  </si>
  <si>
    <t>2.1</t>
  </si>
  <si>
    <t>2.2</t>
  </si>
  <si>
    <t>2.3</t>
  </si>
  <si>
    <t>2.4</t>
  </si>
  <si>
    <t>2.5</t>
  </si>
  <si>
    <t>2.6</t>
  </si>
  <si>
    <t>2.7</t>
  </si>
  <si>
    <t>2.8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</si>
  <si>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</si>
  <si>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</si>
  <si>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</si>
  <si>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</si>
  <si>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</si>
  <si>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</si>
  <si>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</si>
  <si>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</si>
  <si>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</si>
  <si>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</si>
  <si>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</si>
  <si>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</si>
  <si>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</si>
  <si>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</si>
  <si>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</si>
  <si>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</si>
  <si>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</si>
  <si>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</si>
  <si>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</si>
  <si>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</si>
  <si>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</si>
  <si>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</si>
  <si>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</si>
  <si>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</si>
  <si>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</si>
  <si>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</si>
  <si>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</si>
  <si>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</si>
  <si>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</si>
  <si>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</si>
  <si>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</si>
  <si>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</si>
  <si>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</si>
  <si>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</si>
  <si>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</si>
  <si>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</si>
  <si>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</si>
  <si>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</si>
  <si>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14.1</t>
  </si>
  <si>
    <t>15.1</t>
  </si>
  <si>
    <t>16.1</t>
  </si>
  <si>
    <t>Итого по локальной смете:</t>
  </si>
  <si>
    <t>Исполнил:</t>
  </si>
  <si>
    <t>Проверил:</t>
  </si>
  <si>
    <t>Унифицированная форма № КС-3</t>
  </si>
  <si>
    <t>Утверждена постановлением Госкомстата России</t>
  </si>
  <si>
    <t>от 11.11.99. № 100</t>
  </si>
  <si>
    <t>Коды</t>
  </si>
  <si>
    <t>Форма по ОКУД</t>
  </si>
  <si>
    <t xml:space="preserve">Инвестор </t>
  </si>
  <si>
    <t>по ОКПО</t>
  </si>
  <si>
    <t>организация, адрес, телефон, факс</t>
  </si>
  <si>
    <t xml:space="preserve">Заказчик (генподрядчик) </t>
  </si>
  <si>
    <t xml:space="preserve">Подрядчик (субподрядчик) </t>
  </si>
  <si>
    <t xml:space="preserve">Стройка </t>
  </si>
  <si>
    <t>наименование, адрес</t>
  </si>
  <si>
    <t>Вид деятельности  по ОКДП</t>
  </si>
  <si>
    <t xml:space="preserve">Договор подряда (контракт) 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</si>
  <si>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</si>
  <si>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</si>
  <si>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</si>
  <si>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</si>
  <si>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</si>
  <si>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</si>
  <si>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</si>
  <si>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</si>
  <si>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СПРАВКА</t>
  </si>
  <si>
    <t>СТОИМОСТИ ВЫПОЛНЕННЫХ РАБОТ И ЗАТРАТ</t>
  </si>
  <si>
    <t>Наименование пусковых комплексов, объектов, видов работ, оборудования, затрат</t>
  </si>
  <si>
    <t>Код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</si>
  <si>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</si>
  <si>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</si>
  <si>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</si>
  <si>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</si>
  <si>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</si>
  <si>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</si>
  <si>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>Итого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</si>
  <si>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</si>
  <si>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</si>
  <si>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</si>
  <si>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</si>
  <si>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</si>
  <si>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</si>
  <si>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>Локальная смета № 02-01</t>
  </si>
  <si>
    <t>Составлена в текущих ценах на 1 кв. 2020 г.</t>
  </si>
  <si>
    <t>Основание: Дефектная ведомость</t>
  </si>
  <si>
    <t>Заместитель Главы администрации городского округа Лотошино</t>
  </si>
  <si>
    <t>_____________________________В.А. Попов</t>
  </si>
  <si>
    <t>"_____"_________2020 г.</t>
  </si>
  <si>
    <t xml:space="preserve">Глава городского округа  Лотошиено </t>
  </si>
  <si>
    <r>
      <t>__________________</t>
    </r>
    <r>
      <rPr>
        <sz val="10"/>
        <rFont val="Tahoma"/>
        <family val="2"/>
        <charset val="204"/>
      </rPr>
      <t>Е.Л. Долгасова</t>
    </r>
  </si>
  <si>
    <r>
      <t>__</t>
    </r>
    <r>
      <rPr>
        <sz val="10"/>
        <rFont val="Tahoma"/>
        <family val="2"/>
        <charset val="204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</si>
</sst>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\ #,##0.00"/>
  </numFmts>
  <fonts count="22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b/>
      <sz val="10"/>
      <color indexed="58"/>
      <name val="Tahoma"/>
      <family val="2"/>
      <charset val="204"/>
    </font>
    <font>
      <sz val="9"/>
      <color indexed="36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indexed="17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u/>
      <sz val="10"/>
      <color indexed="62"/>
      <name val="Tahoma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quotePrefix="1" applyFont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right" vertical="top"/>
    </xf>
    <xf numFmtId="0" fontId="12" fillId="0" borderId="14" xfId="0" applyFont="1" applyBorder="1" applyAlignment="1">
      <alignment vertical="top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right" vertical="top"/>
    </xf>
    <xf numFmtId="49" fontId="13" fillId="0" borderId="15" xfId="0" applyNumberFormat="1" applyFont="1" applyBorder="1" applyAlignment="1">
      <alignment horizontal="left" vertical="top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/>
    </xf>
    <xf numFmtId="0" fontId="13" fillId="0" borderId="15" xfId="0" applyFont="1" applyBorder="1" applyAlignment="1">
      <alignment horizontal="right" vertical="top"/>
    </xf>
    <xf numFmtId="0" fontId="14" fillId="0" borderId="15" xfId="0" applyFont="1" applyBorder="1" applyAlignment="1">
      <alignment vertical="top"/>
    </xf>
    <xf numFmtId="0" fontId="14" fillId="0" borderId="15" xfId="0" applyFont="1" applyBorder="1" applyAlignment="1">
      <alignment horizontal="right" vertical="top"/>
    </xf>
    <xf numFmtId="49" fontId="14" fillId="0" borderId="15" xfId="0" applyNumberFormat="1" applyFont="1" applyBorder="1" applyAlignment="1">
      <alignment horizontal="left" vertical="top"/>
    </xf>
    <xf numFmtId="0" fontId="14" fillId="0" borderId="15" xfId="0" applyFont="1" applyBorder="1" applyAlignment="1">
      <alignment vertical="top" wrapText="1"/>
    </xf>
    <xf numFmtId="49" fontId="15" fillId="0" borderId="15" xfId="0" applyNumberFormat="1" applyFont="1" applyBorder="1" applyAlignment="1">
      <alignment horizontal="left" vertical="top"/>
    </xf>
    <xf numFmtId="0" fontId="15" fillId="0" borderId="15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5" xfId="0" applyFont="1" applyBorder="1" applyAlignment="1">
      <alignment horizontal="right" vertical="top"/>
    </xf>
    <xf numFmtId="0" fontId="9" fillId="0" borderId="15" xfId="0" applyFont="1" applyBorder="1" applyAlignment="1">
      <alignment vertical="top"/>
    </xf>
    <xf numFmtId="0" fontId="9" fillId="0" borderId="15" xfId="0" applyFont="1" applyBorder="1" applyAlignment="1">
      <alignment horizontal="right" vertical="top"/>
    </xf>
    <xf numFmtId="0" fontId="9" fillId="0" borderId="16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7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0" fillId="0" borderId="2" xfId="0" applyFont="1" applyBorder="1" applyAlignment="1">
      <alignment horizontal="right" vertical="top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18" fillId="0" borderId="0" xfId="0" applyFont="1" applyAlignment="1">
      <alignment horizontal="right" vertical="top"/>
    </xf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5" xfId="0" applyFont="1" applyBorder="1"/>
    <xf numFmtId="14" fontId="20" fillId="0" borderId="0" xfId="0" applyNumberFormat="1" applyFont="1"/>
    <xf numFmtId="0" fontId="20" fillId="0" borderId="9" xfId="0" applyFont="1" applyBorder="1" applyAlignment="1">
      <alignment horizontal="center" vertical="center" wrapText="1" shrinkToFit="1"/>
    </xf>
    <xf numFmtId="0" fontId="20" fillId="0" borderId="9" xfId="0" applyFont="1" applyBorder="1" applyAlignment="1">
      <alignment horizontal="center" wrapText="1" shrinkToFit="1"/>
    </xf>
    <xf numFmtId="0" fontId="20" fillId="0" borderId="8" xfId="0" applyFont="1" applyBorder="1" applyAlignment="1">
      <alignment horizontal="center" vertical="center" wrapText="1" shrinkToFi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/>
    </xf>
    <xf numFmtId="49" fontId="14" fillId="0" borderId="15" xfId="0" applyNumberFormat="1" applyFont="1" applyBorder="1" applyAlignment="1">
      <alignment horizontal="left" vertical="top"/>
    </xf>
    <xf numFmtId="0" fontId="0" fillId="0" borderId="15" xfId="0" applyBorder="1" applyAlignment="1">
      <alignment vertical="top"/>
    </xf>
    <xf numFmtId="0" fontId="14" fillId="0" borderId="15" xfId="0" applyFont="1" applyBorder="1" applyAlignment="1">
      <alignment vertical="top" wrapText="1"/>
    </xf>
    <xf numFmtId="0" fontId="14" fillId="0" borderId="15" xfId="0" applyFont="1" applyBorder="1" applyAlignment="1">
      <alignment vertical="top"/>
    </xf>
    <xf numFmtId="0" fontId="20" fillId="0" borderId="0" xfId="0" applyFont="1" applyAlignment="1">
      <alignment horizontal="right"/>
    </xf>
    <xf numFmtId="0" fontId="20" fillId="0" borderId="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5" xfId="0" applyFont="1" applyBorder="1"/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0" fillId="0" borderId="8" xfId="0" applyFont="1" applyBorder="1" applyAlignment="1">
      <alignment horizontal="right"/>
    </xf>
    <xf numFmtId="0" fontId="20" fillId="0" borderId="7" xfId="0" applyFont="1" applyBorder="1" applyAlignment="1">
      <alignment horizontal="right"/>
    </xf>
    <xf numFmtId="14" fontId="20" fillId="0" borderId="9" xfId="0" applyNumberFormat="1" applyFont="1" applyBorder="1" applyAlignment="1">
      <alignment horizontal="center"/>
    </xf>
    <xf numFmtId="14" fontId="20" fillId="0" borderId="12" xfId="0" applyNumberFormat="1" applyFont="1" applyBorder="1" applyAlignment="1">
      <alignment horizontal="center"/>
    </xf>
    <xf numFmtId="0" fontId="20" fillId="0" borderId="8" xfId="0" applyFont="1" applyBorder="1"/>
    <xf numFmtId="0" fontId="20" fillId="0" borderId="17" xfId="0" applyFont="1" applyBorder="1"/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4" fontId="20" fillId="0" borderId="8" xfId="0" applyNumberFormat="1" applyFont="1" applyBorder="1" applyAlignment="1">
      <alignment horizontal="center"/>
    </xf>
    <xf numFmtId="14" fontId="20" fillId="0" borderId="17" xfId="0" applyNumberFormat="1" applyFont="1" applyBorder="1" applyAlignment="1">
      <alignment horizontal="center"/>
    </xf>
    <xf numFmtId="14" fontId="20" fillId="0" borderId="7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right" vertical="center" wrapText="1" shrinkToFit="1"/>
    </xf>
    <xf numFmtId="164" fontId="20" fillId="0" borderId="8" xfId="0" applyNumberFormat="1" applyFont="1" applyBorder="1" applyAlignment="1">
      <alignment horizontal="right" vertical="center" wrapText="1" shrinkToFit="1"/>
    </xf>
    <xf numFmtId="0" fontId="20" fillId="0" borderId="17" xfId="0" applyFont="1" applyBorder="1" applyAlignment="1">
      <alignment horizontal="right" vertical="center" wrapText="1" shrinkToFit="1"/>
    </xf>
    <xf numFmtId="0" fontId="20" fillId="0" borderId="3" xfId="0" applyFont="1" applyBorder="1" applyAlignment="1">
      <alignment horizontal="center"/>
    </xf>
    <xf numFmtId="0" fontId="20" fillId="0" borderId="9" xfId="0" applyFont="1" applyBorder="1" applyAlignment="1">
      <alignment horizontal="justify" vertical="top" wrapText="1" shrinkToFit="1"/>
    </xf>
    <xf numFmtId="0" fontId="20" fillId="0" borderId="3" xfId="0" applyFont="1" applyBorder="1" applyAlignment="1">
      <alignment horizontal="justify" vertical="top" wrapText="1" shrinkToFit="1"/>
    </xf>
    <xf numFmtId="164" fontId="20" fillId="0" borderId="9" xfId="0" applyNumberFormat="1" applyFont="1" applyBorder="1" applyAlignment="1">
      <alignment horizontal="right" wrapText="1" shrinkToFit="1"/>
    </xf>
    <xf numFmtId="0" fontId="20" fillId="0" borderId="3" xfId="0" applyFont="1" applyBorder="1" applyAlignment="1">
      <alignment horizontal="right" wrapText="1" shrinkToFit="1"/>
    </xf>
    <xf numFmtId="0" fontId="20" fillId="0" borderId="12" xfId="0" applyFont="1" applyBorder="1" applyAlignment="1">
      <alignment horizontal="right" wrapText="1" shrinkToFit="1"/>
    </xf>
    <xf numFmtId="0" fontId="20" fillId="0" borderId="8" xfId="0" applyFont="1" applyBorder="1" applyAlignment="1">
      <alignment horizontal="justify" vertical="top" wrapText="1" shrinkToFit="1"/>
    </xf>
    <xf numFmtId="0" fontId="20" fillId="0" borderId="7" xfId="0" applyFont="1" applyBorder="1" applyAlignment="1">
      <alignment horizontal="justify" vertical="top" wrapText="1" shrinkToFit="1"/>
    </xf>
    <xf numFmtId="0" fontId="20" fillId="0" borderId="12" xfId="0" applyFont="1" applyBorder="1" applyAlignment="1">
      <alignment horizontal="justify" vertical="top" wrapText="1" shrinkToFit="1"/>
    </xf>
    <xf numFmtId="0" fontId="20" fillId="0" borderId="12" xfId="0" applyFont="1" applyBorder="1" applyAlignment="1">
      <alignment horizontal="right"/>
    </xf>
    <xf numFmtId="164" fontId="20" fillId="0" borderId="9" xfId="0" applyNumberFormat="1" applyFont="1" applyBorder="1" applyAlignment="1">
      <alignment horizontal="right"/>
    </xf>
    <xf numFmtId="164" fontId="20" fillId="0" borderId="9" xfId="0" applyNumberFormat="1" applyFont="1" applyBorder="1" applyAlignment="1">
      <alignment horizontal="right" vertical="center" wrapText="1" shrinkToFit="1"/>
    </xf>
    <xf numFmtId="0" fontId="20" fillId="0" borderId="12" xfId="0" applyFont="1" applyBorder="1" applyAlignment="1">
      <alignment horizontal="right" vertical="center" wrapText="1" shrinkToFit="1"/>
    </xf>
    <xf numFmtId="0" fontId="20" fillId="0" borderId="0" xfId="0" applyFont="1" applyAlignment="1">
      <alignment horizontal="right" vertical="center" shrinkToFit="1"/>
    </xf>
    <xf numFmtId="0" fontId="20" fillId="0" borderId="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showGridLines="0" tabSelected="1" topLeftCell="A19" workbookViewId="0">
      <selection activeCell="H6" sqref="H6"/>
    </sheetView>
  </sheetViews>
  <sheetFormatPr defaultRowHeight="12.75" x14ac:dyDescent="0.2"/>
  <cols>
    <col min="1" max="1" width="5.7109375" style="9" customWidth="1"/>
    <col min="2" max="2" width="15.7109375" style="9" customWidth="1"/>
    <col min="3" max="3" width="50.7109375" style="9" customWidth="1"/>
    <col min="4" max="4" width="10.28515625" style="9" customWidth="1"/>
    <col min="5" max="8" width="12.7109375" style="9" customWidth="1"/>
    <col min="9" max="16384" width="9.140625" style="9"/>
  </cols>
  <sheetData>
    <row r="1" spans="1:8" x14ac:dyDescent="0.2">
      <c r="A1" s="10" t="s">
        <v>334</v>
      </c>
      <c r="F1" s="10" t="s">
        <v>331</v>
      </c>
      <c r="G1" s="10"/>
      <c r="H1" s="10"/>
    </row>
    <row r="2" spans="1:8" x14ac:dyDescent="0.2">
      <c r="A2" s="10" t="str">
        <f>CONCATENATE(Source!AI12," ",Source!AJ12)</f>
        <v xml:space="preserve"> </v>
      </c>
      <c r="F2" s="10" t="s">
        <v>332</v>
      </c>
      <c r="G2" s="10"/>
      <c r="H2" s="50" t="str">
        <f>CONCATENATE(ROUND(Source!F72/1000,3), " тыс.руб.")</f>
        <v>1700,107 тыс.руб.</v>
      </c>
    </row>
    <row r="3" spans="1:8" x14ac:dyDescent="0.2">
      <c r="A3" s="10"/>
      <c r="B3" s="9" t="s">
        <v>459</v>
      </c>
      <c r="F3" s="66" t="s">
        <v>462</v>
      </c>
      <c r="G3" s="67"/>
      <c r="H3" s="67"/>
    </row>
    <row r="4" spans="1:8" x14ac:dyDescent="0.2">
      <c r="A4" s="11"/>
      <c r="C4" s="9" t="s">
        <v>460</v>
      </c>
      <c r="F4" s="67" t="s">
        <v>463</v>
      </c>
      <c r="G4" s="67"/>
      <c r="H4" s="67"/>
    </row>
    <row r="5" spans="1:8" x14ac:dyDescent="0.2">
      <c r="A5" s="10"/>
      <c r="F5" s="11" t="s">
        <v>333</v>
      </c>
      <c r="G5" s="10" t="s">
        <v>464</v>
      </c>
      <c r="H5" s="10"/>
    </row>
    <row r="6" spans="1:8" x14ac:dyDescent="0.2">
      <c r="B6" s="9" t="s">
        <v>461</v>
      </c>
    </row>
    <row r="7" spans="1:8" ht="6" customHeight="1" x14ac:dyDescent="0.2"/>
    <row r="8" spans="1:8" ht="18" x14ac:dyDescent="0.2">
      <c r="A8" s="68" t="s">
        <v>456</v>
      </c>
      <c r="B8" s="68"/>
      <c r="C8" s="68"/>
      <c r="D8" s="68"/>
      <c r="E8" s="68"/>
      <c r="F8" s="68"/>
      <c r="G8" s="68"/>
      <c r="H8" s="68"/>
    </row>
    <row r="9" spans="1:8" ht="18" customHeight="1" x14ac:dyDescent="0.2">
      <c r="A9" s="69" t="str">
        <f>Source!G20</f>
        <v>Новая локальная смета</v>
      </c>
      <c r="B9" s="69"/>
      <c r="C9" s="69"/>
      <c r="D9" s="69"/>
      <c r="E9" s="69"/>
      <c r="F9" s="69"/>
      <c r="G9" s="69"/>
      <c r="H9" s="69"/>
    </row>
    <row r="10" spans="1:8" ht="6" customHeight="1" x14ac:dyDescent="0.2"/>
    <row r="11" spans="1:8" hidden="1" x14ac:dyDescent="0.2">
      <c r="A11" s="9" t="str">
        <f>CONCATENATE("Стадийность проектирования: ",IF(Source!E12=0,"одностадийное","двухстадийное"))</f>
        <v>Стадийность проектирования: одностадийное</v>
      </c>
    </row>
    <row r="12" spans="1:8" x14ac:dyDescent="0.2">
      <c r="A12" s="9" t="s">
        <v>458</v>
      </c>
      <c r="F12" s="12" t="s">
        <v>335</v>
      </c>
      <c r="G12" s="9" t="str">
        <f>CONCATENATE(ROUND(Source!F72/1000,3), " тыс.руб.")</f>
        <v>1700,107 тыс.руб.</v>
      </c>
    </row>
    <row r="13" spans="1:8" x14ac:dyDescent="0.2">
      <c r="F13" s="12" t="s">
        <v>336</v>
      </c>
      <c r="G13" s="9" t="str">
        <f>CONCATENATE(ROUND(SUM(Source!GT24:GT41)/1000,3), " тыс. руб.")</f>
        <v>0 тыс. руб.</v>
      </c>
    </row>
    <row r="14" spans="1:8" x14ac:dyDescent="0.2">
      <c r="F14" s="12" t="s">
        <v>337</v>
      </c>
      <c r="G14" s="9" t="str">
        <f>CONCATENATE(ROUND(SUM(Source!GU24:GU41)/1000,3), " тыс. руб.")</f>
        <v>0 тыс. руб.</v>
      </c>
    </row>
    <row r="15" spans="1:8" x14ac:dyDescent="0.2">
      <c r="F15" s="12" t="s">
        <v>338</v>
      </c>
      <c r="G15" s="9" t="str">
        <f>CONCATENATE(ROUND(Source!F65,3), " чел.-ч.")</f>
        <v>242 чел.-ч.</v>
      </c>
    </row>
    <row r="16" spans="1:8" x14ac:dyDescent="0.2">
      <c r="A16" s="9" t="s">
        <v>457</v>
      </c>
      <c r="F16" s="12" t="s">
        <v>339</v>
      </c>
      <c r="G16" s="9" t="str">
        <f>CONCATENATE(ROUND(Source!F58/1000,3), " тыс. руб.")</f>
        <v>39,454 тыс. руб.</v>
      </c>
    </row>
    <row r="17" spans="1:8" ht="3.95" customHeight="1" thickBot="1" x14ac:dyDescent="0.25"/>
    <row r="18" spans="1:8" ht="26.1" customHeight="1" thickBot="1" x14ac:dyDescent="0.25">
      <c r="A18" s="70" t="s">
        <v>340</v>
      </c>
      <c r="B18" s="70" t="s">
        <v>341</v>
      </c>
      <c r="C18" s="70" t="s">
        <v>342</v>
      </c>
      <c r="D18" s="70" t="s">
        <v>343</v>
      </c>
      <c r="E18" s="70" t="s">
        <v>344</v>
      </c>
      <c r="F18" s="70"/>
      <c r="G18" s="70" t="s">
        <v>345</v>
      </c>
      <c r="H18" s="70"/>
    </row>
    <row r="19" spans="1:8" ht="26.25" thickBot="1" x14ac:dyDescent="0.25">
      <c r="A19" s="70"/>
      <c r="B19" s="70"/>
      <c r="C19" s="70"/>
      <c r="D19" s="70"/>
      <c r="E19" s="13" t="s">
        <v>346</v>
      </c>
      <c r="F19" s="13" t="s">
        <v>347</v>
      </c>
      <c r="G19" s="13" t="s">
        <v>346</v>
      </c>
      <c r="H19" s="13" t="s">
        <v>348</v>
      </c>
    </row>
    <row r="20" spans="1:8" x14ac:dyDescent="0.2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</row>
    <row r="21" spans="1:8" s="14" customFormat="1" ht="25.5" x14ac:dyDescent="0.2">
      <c r="A21" s="27" t="str">
        <f>Source!E24</f>
        <v>1</v>
      </c>
      <c r="B21" s="28" t="str">
        <f>CONCATENATE(Source!F24,"                       ", Source!EO24)</f>
        <v xml:space="preserve">05-01-002-4                       </v>
      </c>
      <c r="C21" s="28" t="str">
        <f>Source!G24</f>
        <v>Погружение свай винтовых размером 89*3*1450 мм</v>
      </c>
      <c r="D21" s="28" t="str">
        <f>Source!H24</f>
        <v>1 м3 свай</v>
      </c>
      <c r="E21" s="29"/>
      <c r="F21" s="29">
        <v>1.4</v>
      </c>
      <c r="G21" s="29">
        <f>IF(Source!AB24=0,"-",ROUND(Source!AB24,2))</f>
        <v>5002.45</v>
      </c>
      <c r="H21" s="29">
        <f>IF(Source!O24=0,"-",ROUND(Source!O24,2))</f>
        <v>7003</v>
      </c>
    </row>
    <row r="22" spans="1:8" s="15" customFormat="1" ht="11.25" hidden="1" x14ac:dyDescent="0.2">
      <c r="A22" s="30" t="s">
        <v>349</v>
      </c>
      <c r="B22" s="31" t="str">
        <f>SmtRes!I1</f>
        <v>1-1039</v>
      </c>
      <c r="C22" s="31" t="str">
        <f>SmtRes!K1</f>
        <v>Рабочий строитель среднего разряда 3,9</v>
      </c>
      <c r="D22" s="31" t="str">
        <f>SmtRes!O1</f>
        <v>чел.-ч</v>
      </c>
      <c r="E22" s="32">
        <f>ROUND(SmtRes!Y1,5)</f>
        <v>4.6900000000000004</v>
      </c>
      <c r="F22" s="32">
        <f>ROUND(SmtRes!Y1*Source!I24,5)</f>
        <v>6.5659999999999998</v>
      </c>
      <c r="G22" s="32">
        <v>193.32</v>
      </c>
      <c r="H22" s="33">
        <f>IF(SmtRes!AK1*Source!I24=0,"-",ROUND(SmtRes!AK1*Source!I24*Source!BA24,2))</f>
        <v>1269.3399999999999</v>
      </c>
    </row>
    <row r="23" spans="1:8" s="15" customFormat="1" ht="11.25" hidden="1" x14ac:dyDescent="0.2">
      <c r="A23" s="30" t="s">
        <v>350</v>
      </c>
      <c r="B23" s="31" t="str">
        <f>SmtRes!I2</f>
        <v>2</v>
      </c>
      <c r="C23" s="31" t="str">
        <f>SmtRes!K2</f>
        <v>Затраты труда машинистов</v>
      </c>
      <c r="D23" s="31" t="str">
        <f>SmtRes!O2</f>
        <v>чел.час</v>
      </c>
      <c r="E23" s="32">
        <f>ROUND(SmtRes!Y2,5)</f>
        <v>2.4900000000000002</v>
      </c>
      <c r="F23" s="32">
        <f>ROUND(SmtRes!Y2*Source!I24,5)</f>
        <v>3.4860000000000002</v>
      </c>
      <c r="G23" s="32">
        <v>0</v>
      </c>
      <c r="H23" s="33">
        <f>ROUND(SmtRes!AI2*SmtRes!Y2*Source!I24,2)</f>
        <v>0</v>
      </c>
    </row>
    <row r="24" spans="1:8" hidden="1" x14ac:dyDescent="0.2">
      <c r="A24" s="71" t="s">
        <v>351</v>
      </c>
      <c r="B24" s="71"/>
      <c r="C24" s="71"/>
      <c r="D24" s="71"/>
      <c r="E24" s="71"/>
      <c r="F24" s="71"/>
      <c r="G24" s="71"/>
      <c r="H24" s="71"/>
    </row>
    <row r="25" spans="1:8" s="16" customFormat="1" ht="11.25" hidden="1" x14ac:dyDescent="0.2">
      <c r="A25" s="72" t="s">
        <v>352</v>
      </c>
      <c r="B25" s="74" t="str">
        <f>SmtRes!I3</f>
        <v>021243</v>
      </c>
      <c r="C25" s="74" t="str">
        <f>SmtRes!K3</f>
        <v>Краны на гусеничном ходу при работе на других видах строительства до 16 т</v>
      </c>
      <c r="D25" s="74" t="str">
        <f>SmtRes!O3</f>
        <v>маш.-ч</v>
      </c>
      <c r="E25" s="75">
        <f>ROUND(SmtRes!Y3,5)</f>
        <v>0.03</v>
      </c>
      <c r="F25" s="75">
        <f>ROUND(SmtRes!Y3*Source!I24,5)</f>
        <v>4.2000000000000003E-2</v>
      </c>
      <c r="G25" s="34">
        <v>661.15</v>
      </c>
      <c r="H25" s="35">
        <f>IF(SmtRes!AK3*Source!I24=0,"-",ROUND(SmtRes!AK3*Source!I24*Source!BB24,2))</f>
        <v>27.77</v>
      </c>
    </row>
    <row r="26" spans="1:8" s="16" customFormat="1" ht="11.25" hidden="1" x14ac:dyDescent="0.2">
      <c r="A26" s="73"/>
      <c r="B26" s="73"/>
      <c r="C26" s="73"/>
      <c r="D26" s="73"/>
      <c r="E26" s="73"/>
      <c r="F26" s="73"/>
      <c r="G26" s="34">
        <v>274.41000000000003</v>
      </c>
      <c r="H26" s="35">
        <f>IF(SmtRes!AH3*SmtRes!Y3*Source!I24=0,"-",ROUND(SmtRes!AH3*SmtRes!Y3*Source!I24,2))</f>
        <v>11.53</v>
      </c>
    </row>
    <row r="27" spans="1:8" s="16" customFormat="1" ht="11.25" hidden="1" x14ac:dyDescent="0.2">
      <c r="A27" s="72" t="s">
        <v>353</v>
      </c>
      <c r="B27" s="74" t="str">
        <f>SmtRes!I4</f>
        <v>140101</v>
      </c>
      <c r="C27" s="74" t="str">
        <f>SmtRes!K4</f>
        <v>Агрегаты копровые без дизель-молота на базе экскаватора 0,65 м3</v>
      </c>
      <c r="D27" s="74" t="str">
        <f>SmtRes!O4</f>
        <v>маш.-ч</v>
      </c>
      <c r="E27" s="75">
        <f>ROUND(SmtRes!Y4,5)</f>
        <v>1.97</v>
      </c>
      <c r="F27" s="75">
        <f>ROUND(SmtRes!Y4*Source!I24,5)</f>
        <v>2.758</v>
      </c>
      <c r="G27" s="34">
        <v>1140.3900000000001</v>
      </c>
      <c r="H27" s="35">
        <f>IF(SmtRes!AK4*Source!I24=0,"-",ROUND(SmtRes!AK4*Source!I24*Source!BB24,2))</f>
        <v>3145.2</v>
      </c>
    </row>
    <row r="28" spans="1:8" s="16" customFormat="1" ht="11.25" hidden="1" x14ac:dyDescent="0.2">
      <c r="A28" s="73"/>
      <c r="B28" s="73"/>
      <c r="C28" s="73"/>
      <c r="D28" s="73"/>
      <c r="E28" s="73"/>
      <c r="F28" s="73"/>
      <c r="G28" s="34">
        <v>334.22</v>
      </c>
      <c r="H28" s="35">
        <f>IF(SmtRes!AH4*SmtRes!Y4*Source!I24=0,"-",ROUND(SmtRes!AH4*SmtRes!Y4*Source!I24,2))</f>
        <v>921.78</v>
      </c>
    </row>
    <row r="29" spans="1:8" s="16" customFormat="1" ht="11.25" hidden="1" x14ac:dyDescent="0.2">
      <c r="A29" s="36" t="s">
        <v>354</v>
      </c>
      <c r="B29" s="37" t="str">
        <f>SmtRes!I5</f>
        <v>140504</v>
      </c>
      <c r="C29" s="37" t="str">
        <f>SmtRes!K5</f>
        <v>Дизель-молоты 2,5 т</v>
      </c>
      <c r="D29" s="37" t="str">
        <f>SmtRes!O5</f>
        <v>маш.-ч</v>
      </c>
      <c r="E29" s="34">
        <f>ROUND(SmtRes!Y5,5)</f>
        <v>1.97</v>
      </c>
      <c r="F29" s="34">
        <f>ROUND(SmtRes!Y5*Source!I24,5)</f>
        <v>2.758</v>
      </c>
      <c r="G29" s="34">
        <v>501.83</v>
      </c>
      <c r="H29" s="35">
        <f>IF(SmtRes!AK5*Source!I24=0,"-",ROUND(SmtRes!AK5*Source!I24*Source!BB24,2))</f>
        <v>1384.05</v>
      </c>
    </row>
    <row r="30" spans="1:8" s="16" customFormat="1" ht="11.25" hidden="1" x14ac:dyDescent="0.2">
      <c r="A30" s="72" t="s">
        <v>355</v>
      </c>
      <c r="B30" s="74" t="str">
        <f>SmtRes!I6</f>
        <v>150702</v>
      </c>
      <c r="C30" s="74" t="str">
        <f>SmtRes!K6</f>
        <v>Трубоукладчики для труб диаметром до 700 мм грузоподъемностью 12,5 т</v>
      </c>
      <c r="D30" s="74" t="str">
        <f>SmtRes!O6</f>
        <v>маш.-ч</v>
      </c>
      <c r="E30" s="75">
        <f>ROUND(SmtRes!Y6,5)</f>
        <v>0.49</v>
      </c>
      <c r="F30" s="75">
        <f>ROUND(SmtRes!Y6*Source!I24,5)</f>
        <v>0.68600000000000005</v>
      </c>
      <c r="G30" s="34">
        <v>1262.02</v>
      </c>
      <c r="H30" s="35">
        <f>IF(SmtRes!AK6*Source!I24=0,"-",ROUND(SmtRes!AK6*Source!I24*Source!BB24,2))</f>
        <v>865.75</v>
      </c>
    </row>
    <row r="31" spans="1:8" s="16" customFormat="1" ht="11.25" hidden="1" x14ac:dyDescent="0.2">
      <c r="A31" s="73"/>
      <c r="B31" s="73"/>
      <c r="C31" s="73"/>
      <c r="D31" s="73"/>
      <c r="E31" s="73"/>
      <c r="F31" s="73"/>
      <c r="G31" s="34">
        <v>292.73</v>
      </c>
      <c r="H31" s="35">
        <f>IF(SmtRes!AH6*SmtRes!Y6*Source!I24=0,"-",ROUND(SmtRes!AH6*SmtRes!Y6*Source!I24,2))</f>
        <v>200.81</v>
      </c>
    </row>
    <row r="32" spans="1:8" s="16" customFormat="1" ht="11.25" hidden="1" x14ac:dyDescent="0.2">
      <c r="A32" s="36" t="s">
        <v>356</v>
      </c>
      <c r="B32" s="37" t="str">
        <f>SmtRes!I7</f>
        <v>400101</v>
      </c>
      <c r="C32" s="37" t="str">
        <f>SmtRes!K7</f>
        <v>Тягачи седельные, грузоподъемность 12 т</v>
      </c>
      <c r="D32" s="37" t="str">
        <f>SmtRes!O7</f>
        <v>маш.-ч</v>
      </c>
      <c r="E32" s="34">
        <f>ROUND(SmtRes!Y7,5)</f>
        <v>0.05</v>
      </c>
      <c r="F32" s="34">
        <f>ROUND(SmtRes!Y7*Source!I24,5)</f>
        <v>7.0000000000000007E-2</v>
      </c>
      <c r="G32" s="34">
        <v>1234.8800000000001</v>
      </c>
      <c r="H32" s="35">
        <f>IF(SmtRes!AK7*Source!I24=0,"-",ROUND(SmtRes!AK7*Source!I24*Source!BB24,2))</f>
        <v>86.44</v>
      </c>
    </row>
    <row r="33" spans="1:8" s="16" customFormat="1" ht="11.25" hidden="1" x14ac:dyDescent="0.2">
      <c r="A33" s="36" t="s">
        <v>357</v>
      </c>
      <c r="B33" s="37" t="str">
        <f>SmtRes!I8</f>
        <v>400111</v>
      </c>
      <c r="C33" s="37" t="str">
        <f>SmtRes!K8</f>
        <v>Полуприцепы общего назначения, грузоподъемность 12 т</v>
      </c>
      <c r="D33" s="37" t="str">
        <f>SmtRes!O8</f>
        <v>маш.-ч</v>
      </c>
      <c r="E33" s="34">
        <f>ROUND(SmtRes!Y8,5)</f>
        <v>0.05</v>
      </c>
      <c r="F33" s="34">
        <f>ROUND(SmtRes!Y8*Source!I24,5)</f>
        <v>7.0000000000000007E-2</v>
      </c>
      <c r="G33" s="34">
        <v>124.54</v>
      </c>
      <c r="H33" s="35">
        <f>IF(SmtRes!AK8*Source!I24=0,"-",ROUND(SmtRes!AK8*Source!I24*Source!BB24,2))</f>
        <v>8.7200000000000006</v>
      </c>
    </row>
    <row r="34" spans="1:8" hidden="1" x14ac:dyDescent="0.2">
      <c r="A34" s="71" t="s">
        <v>358</v>
      </c>
      <c r="B34" s="71"/>
      <c r="C34" s="71"/>
      <c r="D34" s="71"/>
      <c r="E34" s="71"/>
      <c r="F34" s="71"/>
      <c r="G34" s="71"/>
      <c r="H34" s="71"/>
    </row>
    <row r="35" spans="1:8" s="17" customFormat="1" ht="22.5" hidden="1" x14ac:dyDescent="0.2">
      <c r="A35" s="38" t="s">
        <v>359</v>
      </c>
      <c r="B35" s="39" t="str">
        <f>SmtRes!I9</f>
        <v>101-0388</v>
      </c>
      <c r="C35" s="39" t="str">
        <f>SmtRes!K9</f>
        <v>Краски масляные земляные марки МА-0115 мумия, сурик железный</v>
      </c>
      <c r="D35" s="39" t="str">
        <f>SmtRes!O9</f>
        <v>т</v>
      </c>
      <c r="E35" s="40">
        <f>ROUND(SmtRes!Y9,5)</f>
        <v>2.0000000000000002E-5</v>
      </c>
      <c r="F35" s="40">
        <f>ROUND(SmtRes!Y9*Source!I24,5)</f>
        <v>3.0000000000000001E-5</v>
      </c>
      <c r="G35" s="40">
        <v>53424</v>
      </c>
      <c r="H35" s="41">
        <f>IF(SmtRes!AK9*Source!I24=0,"-",ROUND(SmtRes!AK9*Source!I24*Source!BC24,2))</f>
        <v>1.5</v>
      </c>
    </row>
    <row r="36" spans="1:8" s="17" customFormat="1" ht="11.25" hidden="1" x14ac:dyDescent="0.2">
      <c r="A36" s="38" t="s">
        <v>360</v>
      </c>
      <c r="B36" s="39" t="str">
        <f>SmtRes!I10</f>
        <v>101-1805</v>
      </c>
      <c r="C36" s="39" t="str">
        <f>SmtRes!K10</f>
        <v>Гвозди строительные</v>
      </c>
      <c r="D36" s="39" t="str">
        <f>SmtRes!O10</f>
        <v>т</v>
      </c>
      <c r="E36" s="40">
        <f>ROUND(SmtRes!Y10,5)</f>
        <v>8.0000000000000007E-5</v>
      </c>
      <c r="F36" s="40">
        <f>ROUND(SmtRes!Y10*Source!I24,5)</f>
        <v>1.1E-4</v>
      </c>
      <c r="G36" s="40">
        <v>67818.78</v>
      </c>
      <c r="H36" s="41">
        <f>IF(SmtRes!AK10*Source!I24=0,"-",ROUND(SmtRes!AK10*Source!I24*Source!BC24,2))</f>
        <v>7.6</v>
      </c>
    </row>
    <row r="37" spans="1:8" s="17" customFormat="1" ht="11.25" hidden="1" x14ac:dyDescent="0.2">
      <c r="A37" s="38" t="s">
        <v>361</v>
      </c>
      <c r="B37" s="39" t="str">
        <f>SmtRes!I11</f>
        <v>102-8009</v>
      </c>
      <c r="C37" s="39" t="str">
        <f>SmtRes!K11</f>
        <v>Доски дубовые II сорта</v>
      </c>
      <c r="D37" s="39" t="str">
        <f>SmtRes!O11</f>
        <v>м3</v>
      </c>
      <c r="E37" s="40">
        <f>ROUND(SmtRes!Y11,5)</f>
        <v>6.0000000000000001E-3</v>
      </c>
      <c r="F37" s="40">
        <f>ROUND(SmtRes!Y11*Source!I24,5)</f>
        <v>8.3999999999999995E-3</v>
      </c>
      <c r="G37" s="40">
        <v>23627.119999999999</v>
      </c>
      <c r="H37" s="41">
        <f>IF(SmtRes!AK11*Source!I24=0,"-",ROUND(SmtRes!AK11*Source!I24*Source!BC24,2))</f>
        <v>198.47</v>
      </c>
    </row>
    <row r="38" spans="1:8" s="17" customFormat="1" ht="45" hidden="1" x14ac:dyDescent="0.2">
      <c r="A38" s="38" t="s">
        <v>362</v>
      </c>
      <c r="B38" s="39" t="str">
        <f>SmtRes!I12</f>
        <v>201-0774</v>
      </c>
      <c r="C38" s="39" t="str">
        <f>SmtRes!K12</f>
        <v>Конструктивные элементы вспомогательного назначения массой не более 50 кг с преобладанием толстолистовой стали собираемые из двух и более деталей, с отверстиями и без отверстий, соединяемые на сварке</v>
      </c>
      <c r="D38" s="39" t="str">
        <f>SmtRes!O12</f>
        <v>т</v>
      </c>
      <c r="E38" s="40">
        <f>ROUND(SmtRes!Y12,5)</f>
        <v>8.0000000000000007E-5</v>
      </c>
      <c r="F38" s="40">
        <f>ROUND(SmtRes!Y12*Source!I24,5)</f>
        <v>1.1E-4</v>
      </c>
      <c r="G38" s="40">
        <v>76872.5</v>
      </c>
      <c r="H38" s="41">
        <f>IF(SmtRes!AK12*Source!I24=0,"-",ROUND(SmtRes!AK12*Source!I24*Source!BC24,2))</f>
        <v>8.61</v>
      </c>
    </row>
    <row r="39" spans="1:8" s="17" customFormat="1" ht="11.25" hidden="1" x14ac:dyDescent="0.2">
      <c r="A39" s="38" t="s">
        <v>363</v>
      </c>
      <c r="B39" s="39" t="str">
        <f>SmtRes!I13</f>
        <v>403-9132</v>
      </c>
      <c r="C39" s="39" t="str">
        <f>SmtRes!K13</f>
        <v>Сваи железобетонные</v>
      </c>
      <c r="D39" s="39" t="str">
        <f>SmtRes!O13</f>
        <v>м3</v>
      </c>
      <c r="E39" s="40">
        <f>ROUND(SmtRes!Y13,5)</f>
        <v>1.03</v>
      </c>
      <c r="F39" s="40">
        <f>ROUND(SmtRes!Y13*Source!I24,5)</f>
        <v>1.4419999999999999</v>
      </c>
      <c r="G39" s="40">
        <v>0</v>
      </c>
      <c r="H39" s="41" t="str">
        <f>IF(SmtRes!AK13*Source!I24=0,"-",ROUND(SmtRes!AK13*Source!I24*Source!BC24,2))</f>
        <v>-</v>
      </c>
    </row>
    <row r="40" spans="1:8" ht="2.1" customHeight="1" x14ac:dyDescent="0.2">
      <c r="A40" s="42"/>
      <c r="B40" s="42"/>
      <c r="C40" s="42"/>
      <c r="D40" s="42"/>
      <c r="E40" s="42"/>
      <c r="F40" s="42"/>
      <c r="G40" s="42"/>
      <c r="H40" s="42"/>
    </row>
    <row r="41" spans="1:8" x14ac:dyDescent="0.2">
      <c r="A41" s="42"/>
      <c r="B41" s="42"/>
      <c r="C41" s="42" t="s">
        <v>152</v>
      </c>
      <c r="D41" s="42"/>
      <c r="E41" s="42"/>
      <c r="F41" s="42"/>
      <c r="G41" s="43" t="str">
        <f>CONCATENATE(Source!AT24,"%")</f>
        <v>117%</v>
      </c>
      <c r="H41" s="42">
        <f>IF(Source!X24=0,"",ROUND(Source!X24,2))</f>
        <v>2812</v>
      </c>
    </row>
    <row r="42" spans="1:8" x14ac:dyDescent="0.2">
      <c r="A42" s="42"/>
      <c r="B42" s="42"/>
      <c r="C42" s="42" t="s">
        <v>154</v>
      </c>
      <c r="D42" s="42"/>
      <c r="E42" s="42"/>
      <c r="F42" s="42"/>
      <c r="G42" s="43" t="str">
        <f>CONCATENATE(Source!AU24,"%")</f>
        <v>68%</v>
      </c>
      <c r="H42" s="42">
        <f>IF(Source!Y24=0,"",ROUND(Source!Y24,2))</f>
        <v>1634</v>
      </c>
    </row>
    <row r="43" spans="1:8" x14ac:dyDescent="0.2">
      <c r="A43" s="44"/>
      <c r="B43" s="44"/>
      <c r="C43" s="44" t="s">
        <v>364</v>
      </c>
      <c r="D43" s="44"/>
      <c r="E43" s="44"/>
      <c r="F43" s="44"/>
      <c r="G43" s="44"/>
      <c r="H43" s="44">
        <f>IF(Source!Y24+Source!X24+Source!O24=0,"",ROUND(Source!Y24+Source!X24+Source!O24,2))</f>
        <v>11449</v>
      </c>
    </row>
    <row r="44" spans="1:8" s="14" customFormat="1" ht="105" customHeight="1" x14ac:dyDescent="0.2">
      <c r="A44" s="27" t="str">
        <f>Source!E25</f>
        <v>2</v>
      </c>
      <c r="B44" s="28" t="str">
        <f>CONCATENATE(Source!F25,"                       ", Source!EO25)</f>
        <v xml:space="preserve">06-01-001-1                       </v>
      </c>
      <c r="C44" s="28" t="str">
        <f>Source!G25</f>
        <v>Устройство бетонной подготовки</v>
      </c>
      <c r="D44" s="28" t="str">
        <f>Source!H25</f>
        <v>100 м3 бетона, бутобетона и железобетона в деле</v>
      </c>
      <c r="E44" s="29"/>
      <c r="F44" s="29">
        <v>7.0000000000000007E-2</v>
      </c>
      <c r="G44" s="29">
        <f>IF(Source!AB25=0,"-",ROUND(Source!AB25,2))</f>
        <v>50309.440000000002</v>
      </c>
      <c r="H44" s="29">
        <f>IF(Source!O25=0,"-",ROUND(Source!O25,2))</f>
        <v>3522</v>
      </c>
    </row>
    <row r="45" spans="1:8" s="15" customFormat="1" ht="11.25" hidden="1" x14ac:dyDescent="0.2">
      <c r="A45" s="30" t="s">
        <v>365</v>
      </c>
      <c r="B45" s="31" t="str">
        <f>SmtRes!I14</f>
        <v>1-1020</v>
      </c>
      <c r="C45" s="31" t="str">
        <f>SmtRes!K14</f>
        <v>Рабочий строитель среднего разряда 2</v>
      </c>
      <c r="D45" s="31" t="str">
        <f>SmtRes!O14</f>
        <v>чел.-ч</v>
      </c>
      <c r="E45" s="32">
        <f>ROUND(SmtRes!Y14,5)</f>
        <v>180</v>
      </c>
      <c r="F45" s="32">
        <f>ROUND(SmtRes!Y14*Source!I25,5)</f>
        <v>12.6</v>
      </c>
      <c r="G45" s="32">
        <v>158.54</v>
      </c>
      <c r="H45" s="33">
        <f>IF(SmtRes!AK14*Source!I25=0,"-",ROUND(SmtRes!AK14*Source!I25*Source!BA25,2))</f>
        <v>1997.6</v>
      </c>
    </row>
    <row r="46" spans="1:8" s="15" customFormat="1" ht="11.25" hidden="1" x14ac:dyDescent="0.2">
      <c r="A46" s="30" t="s">
        <v>366</v>
      </c>
      <c r="B46" s="31" t="str">
        <f>SmtRes!I15</f>
        <v>2</v>
      </c>
      <c r="C46" s="31" t="str">
        <f>SmtRes!K15</f>
        <v>Затраты труда машинистов</v>
      </c>
      <c r="D46" s="31" t="str">
        <f>SmtRes!O15</f>
        <v>чел.час</v>
      </c>
      <c r="E46" s="32">
        <f>ROUND(SmtRes!Y15,5)</f>
        <v>18</v>
      </c>
      <c r="F46" s="32">
        <f>ROUND(SmtRes!Y15*Source!I25,5)</f>
        <v>1.26</v>
      </c>
      <c r="G46" s="32">
        <v>0</v>
      </c>
      <c r="H46" s="33">
        <f>ROUND(SmtRes!AI15*SmtRes!Y15*Source!I25,2)</f>
        <v>0</v>
      </c>
    </row>
    <row r="47" spans="1:8" hidden="1" x14ac:dyDescent="0.2">
      <c r="A47" s="71" t="s">
        <v>351</v>
      </c>
      <c r="B47" s="71"/>
      <c r="C47" s="71"/>
      <c r="D47" s="71"/>
      <c r="E47" s="71"/>
      <c r="F47" s="71"/>
      <c r="G47" s="71"/>
      <c r="H47" s="71"/>
    </row>
    <row r="48" spans="1:8" s="16" customFormat="1" ht="11.25" hidden="1" x14ac:dyDescent="0.2">
      <c r="A48" s="72" t="s">
        <v>367</v>
      </c>
      <c r="B48" s="74" t="str">
        <f>SmtRes!I16</f>
        <v>020129</v>
      </c>
      <c r="C48" s="74" t="str">
        <f>SmtRes!K16</f>
        <v>Краны башенные при работе на других видах строительства 8 т</v>
      </c>
      <c r="D48" s="74" t="str">
        <f>SmtRes!O16</f>
        <v>маш.-ч</v>
      </c>
      <c r="E48" s="75">
        <f>ROUND(SmtRes!Y16,5)</f>
        <v>18</v>
      </c>
      <c r="F48" s="75">
        <f>ROUND(SmtRes!Y16*Source!I25,5)</f>
        <v>1.26</v>
      </c>
      <c r="G48" s="34">
        <v>513.19000000000005</v>
      </c>
      <c r="H48" s="35">
        <f>IF(SmtRes!AK16*Source!I25=0,"-",ROUND(SmtRes!AK16*Source!I25*Source!BB25,2))</f>
        <v>646.62</v>
      </c>
    </row>
    <row r="49" spans="1:8" s="16" customFormat="1" ht="11.25" hidden="1" x14ac:dyDescent="0.2">
      <c r="A49" s="73"/>
      <c r="B49" s="73"/>
      <c r="C49" s="73"/>
      <c r="D49" s="73"/>
      <c r="E49" s="73"/>
      <c r="F49" s="73"/>
      <c r="G49" s="34">
        <v>274.41000000000003</v>
      </c>
      <c r="H49" s="35">
        <f>IF(SmtRes!AH16*SmtRes!Y16*Source!I25=0,"-",ROUND(SmtRes!AH16*SmtRes!Y16*Source!I25,2))</f>
        <v>345.76</v>
      </c>
    </row>
    <row r="50" spans="1:8" s="16" customFormat="1" ht="11.25" hidden="1" x14ac:dyDescent="0.2">
      <c r="A50" s="36" t="s">
        <v>368</v>
      </c>
      <c r="B50" s="37" t="str">
        <f>SmtRes!I17</f>
        <v>111301</v>
      </c>
      <c r="C50" s="37" t="str">
        <f>SmtRes!K17</f>
        <v>Вибратор поверхностный</v>
      </c>
      <c r="D50" s="37" t="str">
        <f>SmtRes!O17</f>
        <v>маш.-ч</v>
      </c>
      <c r="E50" s="34">
        <f>ROUND(SmtRes!Y17,5)</f>
        <v>48</v>
      </c>
      <c r="F50" s="34">
        <f>ROUND(SmtRes!Y17*Source!I25,5)</f>
        <v>3.36</v>
      </c>
      <c r="G50" s="34">
        <v>2.38</v>
      </c>
      <c r="H50" s="35">
        <f>IF(SmtRes!AK17*Source!I25=0,"-",ROUND(SmtRes!AK17*Source!I25*Source!BB25,2))</f>
        <v>8</v>
      </c>
    </row>
    <row r="51" spans="1:8" s="16" customFormat="1" ht="11.25" hidden="1" x14ac:dyDescent="0.2">
      <c r="A51" s="36" t="s">
        <v>369</v>
      </c>
      <c r="B51" s="37" t="str">
        <f>SmtRes!I18</f>
        <v>400001</v>
      </c>
      <c r="C51" s="37" t="str">
        <f>SmtRes!K18</f>
        <v>Автомобили бортовые, грузоподъемность до 5 т</v>
      </c>
      <c r="D51" s="37" t="str">
        <f>SmtRes!O18</f>
        <v>маш.-ч</v>
      </c>
      <c r="E51" s="34">
        <f>ROUND(SmtRes!Y18,5)</f>
        <v>0.13</v>
      </c>
      <c r="F51" s="34">
        <f>ROUND(SmtRes!Y18*Source!I25,5)</f>
        <v>9.1000000000000004E-3</v>
      </c>
      <c r="G51" s="34">
        <v>822.45</v>
      </c>
      <c r="H51" s="35">
        <f>IF(SmtRes!AK18*Source!I25=0,"-",ROUND(SmtRes!AK18*Source!I25*Source!BB25,2))</f>
        <v>7.48</v>
      </c>
    </row>
    <row r="52" spans="1:8" hidden="1" x14ac:dyDescent="0.2">
      <c r="A52" s="71" t="s">
        <v>358</v>
      </c>
      <c r="B52" s="71"/>
      <c r="C52" s="71"/>
      <c r="D52" s="71"/>
      <c r="E52" s="71"/>
      <c r="F52" s="71"/>
      <c r="G52" s="71"/>
      <c r="H52" s="71"/>
    </row>
    <row r="53" spans="1:8" s="17" customFormat="1" ht="11.25" hidden="1" x14ac:dyDescent="0.2">
      <c r="A53" s="38" t="s">
        <v>370</v>
      </c>
      <c r="B53" s="39" t="str">
        <f>SmtRes!I19</f>
        <v>101-1668</v>
      </c>
      <c r="C53" s="39" t="str">
        <f>SmtRes!K19</f>
        <v>Рогожа</v>
      </c>
      <c r="D53" s="39" t="str">
        <f>SmtRes!O19</f>
        <v>м2</v>
      </c>
      <c r="E53" s="40">
        <f>ROUND(SmtRes!Y19,5)</f>
        <v>250</v>
      </c>
      <c r="F53" s="40">
        <f>ROUND(SmtRes!Y19*Source!I25,5)</f>
        <v>17.5</v>
      </c>
      <c r="G53" s="40">
        <v>49.24</v>
      </c>
      <c r="H53" s="41">
        <f>IF(SmtRes!AK19*Source!I25=0,"-",ROUND(SmtRes!AK19*Source!I25*Source!BC25,2))</f>
        <v>861.7</v>
      </c>
    </row>
    <row r="54" spans="1:8" s="17" customFormat="1" ht="11.25" hidden="1" x14ac:dyDescent="0.2">
      <c r="A54" s="38" t="s">
        <v>371</v>
      </c>
      <c r="B54" s="39" t="str">
        <f>SmtRes!I20</f>
        <v>401-9021</v>
      </c>
      <c r="C54" s="39" t="str">
        <f>SmtRes!K20</f>
        <v>Бетон</v>
      </c>
      <c r="D54" s="39" t="str">
        <f>SmtRes!O20</f>
        <v>м3</v>
      </c>
      <c r="E54" s="40">
        <f>ROUND(SmtRes!Y20,5)</f>
        <v>102</v>
      </c>
      <c r="F54" s="40">
        <f>ROUND(SmtRes!Y20*Source!I25,5)</f>
        <v>7.14</v>
      </c>
      <c r="G54" s="40">
        <v>0</v>
      </c>
      <c r="H54" s="41" t="str">
        <f>IF(SmtRes!AK20*Source!I25=0,"-",ROUND(SmtRes!AK20*Source!I25*Source!BC25,2))</f>
        <v>-</v>
      </c>
    </row>
    <row r="55" spans="1:8" s="17" customFormat="1" ht="11.25" hidden="1" x14ac:dyDescent="0.2">
      <c r="A55" s="38" t="s">
        <v>372</v>
      </c>
      <c r="B55" s="39" t="str">
        <f>SmtRes!I21</f>
        <v>411-0001</v>
      </c>
      <c r="C55" s="39" t="str">
        <f>SmtRes!K21</f>
        <v>Вода</v>
      </c>
      <c r="D55" s="39" t="str">
        <f>SmtRes!O21</f>
        <v>м3</v>
      </c>
      <c r="E55" s="40">
        <f>ROUND(SmtRes!Y21,5)</f>
        <v>0.2</v>
      </c>
      <c r="F55" s="40">
        <f>ROUND(SmtRes!Y21*Source!I25,5)</f>
        <v>1.4E-2</v>
      </c>
      <c r="G55" s="40">
        <v>18.29</v>
      </c>
      <c r="H55" s="41">
        <f>IF(SmtRes!AK21*Source!I25=0,"-",ROUND(SmtRes!AK21*Source!I25*Source!BC25,2))</f>
        <v>0.26</v>
      </c>
    </row>
    <row r="56" spans="1:8" ht="14.25" customHeight="1" x14ac:dyDescent="0.2">
      <c r="A56" s="42"/>
      <c r="B56" s="42"/>
      <c r="C56" s="42"/>
      <c r="D56" s="42"/>
      <c r="E56" s="42"/>
      <c r="F56" s="42"/>
      <c r="G56" s="42"/>
      <c r="H56" s="42"/>
    </row>
    <row r="57" spans="1:8" x14ac:dyDescent="0.2">
      <c r="A57" s="42"/>
      <c r="B57" s="42"/>
      <c r="C57" s="42" t="s">
        <v>152</v>
      </c>
      <c r="D57" s="42"/>
      <c r="E57" s="42"/>
      <c r="F57" s="42"/>
      <c r="G57" s="43" t="str">
        <f>CONCATENATE(Source!AT25,"%")</f>
        <v>95%</v>
      </c>
      <c r="H57" s="42">
        <f>IF(Source!X25=0,"",ROUND(Source!X25,2))</f>
        <v>2227</v>
      </c>
    </row>
    <row r="58" spans="1:8" x14ac:dyDescent="0.2">
      <c r="A58" s="42"/>
      <c r="B58" s="42"/>
      <c r="C58" s="42" t="s">
        <v>154</v>
      </c>
      <c r="D58" s="42"/>
      <c r="E58" s="42"/>
      <c r="F58" s="42"/>
      <c r="G58" s="43" t="str">
        <f>CONCATENATE(Source!AU25,"%")</f>
        <v>55%</v>
      </c>
      <c r="H58" s="42">
        <f>IF(Source!Y25=0,"",ROUND(Source!Y25,2))</f>
        <v>1289</v>
      </c>
    </row>
    <row r="59" spans="1:8" x14ac:dyDescent="0.2">
      <c r="A59" s="44"/>
      <c r="B59" s="44"/>
      <c r="C59" s="44" t="s">
        <v>364</v>
      </c>
      <c r="D59" s="44"/>
      <c r="E59" s="44"/>
      <c r="F59" s="44"/>
      <c r="G59" s="44"/>
      <c r="H59" s="44">
        <f>IF(Source!Y25+Source!X25+Source!O25=0,"",ROUND(Source!Y25+Source!X25+Source!O25,2))</f>
        <v>7038</v>
      </c>
    </row>
    <row r="60" spans="1:8" s="14" customFormat="1" ht="25.5" x14ac:dyDescent="0.2">
      <c r="A60" s="24" t="str">
        <f>Source!E26</f>
        <v>3</v>
      </c>
      <c r="B60" s="25" t="str">
        <f>CONCATENATE(Source!F26,"                       ", Source!EO26)</f>
        <v xml:space="preserve">401-0068                       </v>
      </c>
      <c r="C60" s="25" t="str">
        <f>Source!G26</f>
        <v>Бетон тяжелый, крупность заполнителя 20 мм, класс В22,5 (М300)</v>
      </c>
      <c r="D60" s="25" t="str">
        <f>Source!H26</f>
        <v>м3</v>
      </c>
      <c r="E60" s="26"/>
      <c r="F60" s="26">
        <v>7</v>
      </c>
      <c r="G60" s="26">
        <f>IF(Source!AB26=0,"-",ROUND(Source!AB26,2))</f>
        <v>4421.1899999999996</v>
      </c>
      <c r="H60" s="26">
        <f>IF(Source!O26=0,"-",ROUND(Source!O26,2))</f>
        <v>30948</v>
      </c>
    </row>
    <row r="61" spans="1:8" s="14" customFormat="1" ht="106.5" customHeight="1" x14ac:dyDescent="0.2">
      <c r="A61" s="27" t="str">
        <f>Source!E27</f>
        <v>4</v>
      </c>
      <c r="B61" s="28" t="str">
        <f>CONCATENATE(Source!F27,"                       ", Source!EO27)</f>
        <v xml:space="preserve">06-01-001-1                       </v>
      </c>
      <c r="C61" s="28" t="str">
        <f>Source!G27</f>
        <v>Заливка опалубки</v>
      </c>
      <c r="D61" s="28" t="str">
        <f>Source!H27</f>
        <v>100 м3 бетона, бутобетона и железобетона в деле</v>
      </c>
      <c r="E61" s="29"/>
      <c r="F61" s="29">
        <v>0.93</v>
      </c>
      <c r="G61" s="29">
        <f>IF(Source!AB27=0,"-",ROUND(Source!AB27,2))</f>
        <v>39772.239999999998</v>
      </c>
      <c r="H61" s="29">
        <f>IF(Source!O27=0,"-",ROUND(Source!O27,2))</f>
        <v>36988</v>
      </c>
    </row>
    <row r="62" spans="1:8" s="15" customFormat="1" ht="11.25" hidden="1" x14ac:dyDescent="0.2">
      <c r="A62" s="30" t="s">
        <v>373</v>
      </c>
      <c r="B62" s="31" t="str">
        <f>SmtRes!I22</f>
        <v>1-1020</v>
      </c>
      <c r="C62" s="31" t="str">
        <f>SmtRes!K22</f>
        <v>Рабочий строитель среднего разряда 2</v>
      </c>
      <c r="D62" s="31" t="str">
        <f>SmtRes!O22</f>
        <v>чел.-ч</v>
      </c>
      <c r="E62" s="32">
        <f>ROUND(SmtRes!Y22,5)</f>
        <v>180</v>
      </c>
      <c r="F62" s="32">
        <f>ROUND(SmtRes!Y22*Source!I27,5)</f>
        <v>167.4</v>
      </c>
      <c r="G62" s="32">
        <v>100</v>
      </c>
      <c r="H62" s="33">
        <f>IF(SmtRes!AK22*Source!I27=0,"-",ROUND(SmtRes!AK22*Source!I27*Source!BA27,2))</f>
        <v>16740</v>
      </c>
    </row>
    <row r="63" spans="1:8" s="15" customFormat="1" ht="11.25" hidden="1" x14ac:dyDescent="0.2">
      <c r="A63" s="30" t="s">
        <v>374</v>
      </c>
      <c r="B63" s="31" t="str">
        <f>SmtRes!I23</f>
        <v>2</v>
      </c>
      <c r="C63" s="31" t="str">
        <f>SmtRes!K23</f>
        <v>Затраты труда машинистов</v>
      </c>
      <c r="D63" s="31" t="str">
        <f>SmtRes!O23</f>
        <v>чел.час</v>
      </c>
      <c r="E63" s="32">
        <f>ROUND(SmtRes!Y23,5)</f>
        <v>18</v>
      </c>
      <c r="F63" s="32">
        <f>ROUND(SmtRes!Y23*Source!I27,5)</f>
        <v>16.739999999999998</v>
      </c>
      <c r="G63" s="32">
        <v>0</v>
      </c>
      <c r="H63" s="33">
        <f>ROUND(SmtRes!AI23*SmtRes!Y23*Source!I27,2)</f>
        <v>0</v>
      </c>
    </row>
    <row r="64" spans="1:8" hidden="1" x14ac:dyDescent="0.2">
      <c r="A64" s="71" t="s">
        <v>351</v>
      </c>
      <c r="B64" s="71"/>
      <c r="C64" s="71"/>
      <c r="D64" s="71"/>
      <c r="E64" s="71"/>
      <c r="F64" s="71"/>
      <c r="G64" s="71"/>
      <c r="H64" s="71"/>
    </row>
    <row r="65" spans="1:8" s="16" customFormat="1" ht="11.25" hidden="1" x14ac:dyDescent="0.2">
      <c r="A65" s="72" t="s">
        <v>375</v>
      </c>
      <c r="B65" s="74" t="str">
        <f>SmtRes!I24</f>
        <v>020129</v>
      </c>
      <c r="C65" s="74" t="str">
        <f>SmtRes!K24</f>
        <v>Краны башенные при работе на других видах строительства 8 т</v>
      </c>
      <c r="D65" s="74" t="str">
        <f>SmtRes!O24</f>
        <v>маш.-ч</v>
      </c>
      <c r="E65" s="75">
        <f>ROUND(SmtRes!Y24,5)</f>
        <v>18</v>
      </c>
      <c r="F65" s="75">
        <f>ROUND(SmtRes!Y24*Source!I27,5)</f>
        <v>16.739999999999998</v>
      </c>
      <c r="G65" s="34">
        <v>513.19000000000005</v>
      </c>
      <c r="H65" s="35">
        <f>IF(SmtRes!AK24*Source!I27=0,"-",ROUND(SmtRes!AK24*Source!I27*Source!BB27,2))</f>
        <v>8590.7999999999993</v>
      </c>
    </row>
    <row r="66" spans="1:8" s="16" customFormat="1" ht="11.25" hidden="1" x14ac:dyDescent="0.2">
      <c r="A66" s="73"/>
      <c r="B66" s="73"/>
      <c r="C66" s="73"/>
      <c r="D66" s="73"/>
      <c r="E66" s="73"/>
      <c r="F66" s="73"/>
      <c r="G66" s="34">
        <v>274.41000000000003</v>
      </c>
      <c r="H66" s="35">
        <f>IF(SmtRes!AH24*SmtRes!Y24*Source!I27=0,"-",ROUND(SmtRes!AH24*SmtRes!Y24*Source!I27,2))</f>
        <v>4593.62</v>
      </c>
    </row>
    <row r="67" spans="1:8" s="16" customFormat="1" ht="11.25" hidden="1" x14ac:dyDescent="0.2">
      <c r="A67" s="36" t="s">
        <v>376</v>
      </c>
      <c r="B67" s="37" t="str">
        <f>SmtRes!I25</f>
        <v>111301</v>
      </c>
      <c r="C67" s="37" t="str">
        <f>SmtRes!K25</f>
        <v>Вибратор поверхностный</v>
      </c>
      <c r="D67" s="37" t="str">
        <f>SmtRes!O25</f>
        <v>маш.-ч</v>
      </c>
      <c r="E67" s="34">
        <f>ROUND(SmtRes!Y25,5)</f>
        <v>48</v>
      </c>
      <c r="F67" s="34">
        <f>ROUND(SmtRes!Y25*Source!I27,5)</f>
        <v>44.64</v>
      </c>
      <c r="G67" s="34">
        <v>2.38</v>
      </c>
      <c r="H67" s="35">
        <f>IF(SmtRes!AK25*Source!I27=0,"-",ROUND(SmtRes!AK25*Source!I27*Source!BB27,2))</f>
        <v>106.24</v>
      </c>
    </row>
    <row r="68" spans="1:8" s="16" customFormat="1" ht="11.25" hidden="1" x14ac:dyDescent="0.2">
      <c r="A68" s="36" t="s">
        <v>377</v>
      </c>
      <c r="B68" s="37" t="str">
        <f>SmtRes!I26</f>
        <v>400001</v>
      </c>
      <c r="C68" s="37" t="str">
        <f>SmtRes!K26</f>
        <v>Автомобили бортовые, грузоподъемность до 5 т</v>
      </c>
      <c r="D68" s="37" t="str">
        <f>SmtRes!O26</f>
        <v>маш.-ч</v>
      </c>
      <c r="E68" s="34">
        <f>ROUND(SmtRes!Y26,5)</f>
        <v>0.13</v>
      </c>
      <c r="F68" s="34">
        <f>ROUND(SmtRes!Y26*Source!I27,5)</f>
        <v>0.12089999999999999</v>
      </c>
      <c r="G68" s="34">
        <v>822.45</v>
      </c>
      <c r="H68" s="35">
        <f>IF(SmtRes!AK26*Source!I27=0,"-",ROUND(SmtRes!AK26*Source!I27*Source!BB27,2))</f>
        <v>99.43</v>
      </c>
    </row>
    <row r="69" spans="1:8" hidden="1" x14ac:dyDescent="0.2">
      <c r="A69" s="71" t="s">
        <v>358</v>
      </c>
      <c r="B69" s="71"/>
      <c r="C69" s="71"/>
      <c r="D69" s="71"/>
      <c r="E69" s="71"/>
      <c r="F69" s="71"/>
      <c r="G69" s="71"/>
      <c r="H69" s="71"/>
    </row>
    <row r="70" spans="1:8" s="17" customFormat="1" ht="11.25" hidden="1" x14ac:dyDescent="0.2">
      <c r="A70" s="38" t="s">
        <v>378</v>
      </c>
      <c r="B70" s="39" t="str">
        <f>SmtRes!I27</f>
        <v>101-1668</v>
      </c>
      <c r="C70" s="39" t="str">
        <f>SmtRes!K27</f>
        <v>Рогожа</v>
      </c>
      <c r="D70" s="39" t="str">
        <f>SmtRes!O27</f>
        <v>м2</v>
      </c>
      <c r="E70" s="40">
        <f>ROUND(SmtRes!Y27,5)</f>
        <v>250</v>
      </c>
      <c r="F70" s="40">
        <f>ROUND(SmtRes!Y27*Source!I27,5)</f>
        <v>232.5</v>
      </c>
      <c r="G70" s="40">
        <v>49.24</v>
      </c>
      <c r="H70" s="41">
        <f>IF(SmtRes!AK27*Source!I27=0,"-",ROUND(SmtRes!AK27*Source!I27*Source!BC27,2))</f>
        <v>11448.3</v>
      </c>
    </row>
    <row r="71" spans="1:8" s="17" customFormat="1" ht="11.25" hidden="1" x14ac:dyDescent="0.2">
      <c r="A71" s="38" t="s">
        <v>379</v>
      </c>
      <c r="B71" s="39" t="str">
        <f>SmtRes!I28</f>
        <v>401-9021</v>
      </c>
      <c r="C71" s="39" t="str">
        <f>SmtRes!K28</f>
        <v>Бетон</v>
      </c>
      <c r="D71" s="39" t="str">
        <f>SmtRes!O28</f>
        <v>м3</v>
      </c>
      <c r="E71" s="40">
        <f>ROUND(SmtRes!Y28,5)</f>
        <v>102</v>
      </c>
      <c r="F71" s="40">
        <f>ROUND(SmtRes!Y28*Source!I27,5)</f>
        <v>94.86</v>
      </c>
      <c r="G71" s="40">
        <v>0</v>
      </c>
      <c r="H71" s="41" t="str">
        <f>IF(SmtRes!AK28*Source!I27=0,"-",ROUND(SmtRes!AK28*Source!I27*Source!BC27,2))</f>
        <v>-</v>
      </c>
    </row>
    <row r="72" spans="1:8" s="17" customFormat="1" ht="11.25" hidden="1" x14ac:dyDescent="0.2">
      <c r="A72" s="38" t="s">
        <v>380</v>
      </c>
      <c r="B72" s="39" t="str">
        <f>SmtRes!I29</f>
        <v>411-0001</v>
      </c>
      <c r="C72" s="39" t="str">
        <f>SmtRes!K29</f>
        <v>Вода</v>
      </c>
      <c r="D72" s="39" t="str">
        <f>SmtRes!O29</f>
        <v>м3</v>
      </c>
      <c r="E72" s="40">
        <f>ROUND(SmtRes!Y29,5)</f>
        <v>0.2</v>
      </c>
      <c r="F72" s="40">
        <f>ROUND(SmtRes!Y29*Source!I27,5)</f>
        <v>0.186</v>
      </c>
      <c r="G72" s="40">
        <v>18.29</v>
      </c>
      <c r="H72" s="41">
        <f>IF(SmtRes!AK29*Source!I27=0,"-",ROUND(SmtRes!AK29*Source!I27*Source!BC27,2))</f>
        <v>3.4</v>
      </c>
    </row>
    <row r="73" spans="1:8" ht="2.1" customHeight="1" x14ac:dyDescent="0.2">
      <c r="A73" s="42"/>
      <c r="B73" s="42"/>
      <c r="C73" s="42"/>
      <c r="D73" s="42"/>
      <c r="E73" s="42"/>
      <c r="F73" s="42"/>
      <c r="G73" s="42"/>
      <c r="H73" s="42"/>
    </row>
    <row r="74" spans="1:8" x14ac:dyDescent="0.2">
      <c r="A74" s="42"/>
      <c r="B74" s="42"/>
      <c r="C74" s="42" t="s">
        <v>152</v>
      </c>
      <c r="D74" s="42"/>
      <c r="E74" s="42"/>
      <c r="F74" s="42"/>
      <c r="G74" s="43" t="str">
        <f>CONCATENATE(Source!AT27,"%")</f>
        <v>95%</v>
      </c>
      <c r="H74" s="42">
        <f>IF(Source!X27=0,"",ROUND(Source!X27,2))</f>
        <v>20267</v>
      </c>
    </row>
    <row r="75" spans="1:8" x14ac:dyDescent="0.2">
      <c r="A75" s="42"/>
      <c r="B75" s="42"/>
      <c r="C75" s="42" t="s">
        <v>154</v>
      </c>
      <c r="D75" s="42"/>
      <c r="E75" s="42"/>
      <c r="F75" s="42"/>
      <c r="G75" s="43" t="str">
        <f>CONCATENATE(Source!AU27,"%")</f>
        <v>55%</v>
      </c>
      <c r="H75" s="42">
        <f>IF(Source!Y27=0,"",ROUND(Source!Y27,2))</f>
        <v>11734</v>
      </c>
    </row>
    <row r="76" spans="1:8" x14ac:dyDescent="0.2">
      <c r="A76" s="44"/>
      <c r="B76" s="44"/>
      <c r="C76" s="44" t="s">
        <v>364</v>
      </c>
      <c r="D76" s="44"/>
      <c r="E76" s="44"/>
      <c r="F76" s="44"/>
      <c r="G76" s="44"/>
      <c r="H76" s="44">
        <f>IF(Source!Y27+Source!X27+Source!O27=0,"",ROUND(Source!Y27+Source!X27+Source!O27,2))</f>
        <v>68989</v>
      </c>
    </row>
    <row r="77" spans="1:8" s="14" customFormat="1" x14ac:dyDescent="0.2">
      <c r="A77" s="27" t="str">
        <f>Source!E28</f>
        <v>5</v>
      </c>
      <c r="B77" s="28" t="str">
        <f>CONCATENATE(Source!F28,"                       ", Source!EO28)</f>
        <v xml:space="preserve">т03-21-01-019                       </v>
      </c>
      <c r="C77" s="28" t="str">
        <f>Source!G28</f>
        <v>Доставка бетона</v>
      </c>
      <c r="D77" s="28" t="str">
        <f>Source!H28</f>
        <v>1 Т ГРУЗА</v>
      </c>
      <c r="E77" s="29"/>
      <c r="F77" s="29">
        <v>4.0199999999999996</v>
      </c>
      <c r="G77" s="29">
        <f>IF(Source!AB28=0,"-",ROUND(Source!AB28,2))</f>
        <v>2527</v>
      </c>
      <c r="H77" s="29">
        <f>IF(Source!O28=0,"-",ROUND(Source!O28,2))</f>
        <v>10159</v>
      </c>
    </row>
    <row r="78" spans="1:8" hidden="1" x14ac:dyDescent="0.2">
      <c r="A78" s="71" t="s">
        <v>351</v>
      </c>
      <c r="B78" s="71"/>
      <c r="C78" s="71"/>
      <c r="D78" s="71"/>
      <c r="E78" s="71"/>
      <c r="F78" s="71"/>
      <c r="G78" s="71"/>
      <c r="H78" s="71"/>
    </row>
    <row r="79" spans="1:8" s="16" customFormat="1" ht="11.25" hidden="1" x14ac:dyDescent="0.2">
      <c r="A79" s="36" t="s">
        <v>381</v>
      </c>
      <c r="B79" s="37" t="str">
        <f>SmtRes!I30</f>
        <v>400052</v>
      </c>
      <c r="C79" s="37" t="str">
        <f>SmtRes!K30</f>
        <v>Автомобиль-самосвал, грузоподъемность до 10 т</v>
      </c>
      <c r="D79" s="37" t="str">
        <f>SmtRes!O30</f>
        <v>маш.-ч</v>
      </c>
      <c r="E79" s="34">
        <f>ROUND(SmtRes!Y30,5)</f>
        <v>0.13300000000000001</v>
      </c>
      <c r="F79" s="34">
        <f>ROUND(SmtRes!Y30*Source!I28,5)</f>
        <v>0.53466000000000002</v>
      </c>
      <c r="G79" s="34">
        <v>19000</v>
      </c>
      <c r="H79" s="35">
        <f>IF(SmtRes!AK30*Source!I28=0,"-",ROUND(SmtRes!AK30*Source!I28*Source!BB28,2))</f>
        <v>10158.540000000001</v>
      </c>
    </row>
    <row r="80" spans="1:8" ht="2.1" customHeight="1" x14ac:dyDescent="0.2">
      <c r="A80" s="42"/>
      <c r="B80" s="42"/>
      <c r="C80" s="42"/>
      <c r="D80" s="42"/>
      <c r="E80" s="42"/>
      <c r="F80" s="42"/>
      <c r="G80" s="42"/>
      <c r="H80" s="42"/>
    </row>
    <row r="81" spans="1:8" x14ac:dyDescent="0.2">
      <c r="A81" s="42"/>
      <c r="B81" s="42"/>
      <c r="C81" s="42" t="s">
        <v>152</v>
      </c>
      <c r="D81" s="42"/>
      <c r="E81" s="42"/>
      <c r="F81" s="42"/>
      <c r="G81" s="43" t="str">
        <f>CONCATENATE(Source!AT28,"%")</f>
        <v>0%</v>
      </c>
      <c r="H81" s="42" t="str">
        <f>IF(Source!X28=0,"",ROUND(Source!X28,2))</f>
        <v/>
      </c>
    </row>
    <row r="82" spans="1:8" x14ac:dyDescent="0.2">
      <c r="A82" s="42"/>
      <c r="B82" s="42"/>
      <c r="C82" s="42" t="s">
        <v>154</v>
      </c>
      <c r="D82" s="42"/>
      <c r="E82" s="42"/>
      <c r="F82" s="42"/>
      <c r="G82" s="43" t="str">
        <f>CONCATENATE(Source!AU28,"%")</f>
        <v>0%</v>
      </c>
      <c r="H82" s="42" t="str">
        <f>IF(Source!Y28=0,"",ROUND(Source!Y28,2))</f>
        <v/>
      </c>
    </row>
    <row r="83" spans="1:8" x14ac:dyDescent="0.2">
      <c r="A83" s="44"/>
      <c r="B83" s="44"/>
      <c r="C83" s="44" t="s">
        <v>364</v>
      </c>
      <c r="D83" s="44"/>
      <c r="E83" s="44"/>
      <c r="F83" s="44"/>
      <c r="G83" s="44"/>
      <c r="H83" s="44">
        <f>IF(Source!Y28+Source!X28+Source!O28=0,"",ROUND(Source!Y28+Source!X28+Source!O28,2))</f>
        <v>10159</v>
      </c>
    </row>
    <row r="84" spans="1:8" s="14" customFormat="1" ht="100.5" customHeight="1" x14ac:dyDescent="0.2">
      <c r="A84" s="27" t="str">
        <f>Source!E29</f>
        <v>6</v>
      </c>
      <c r="B84" s="28" t="str">
        <f>CONCATENATE(Source!F29,"                       ", Source!EO29)</f>
        <v xml:space="preserve">06-01-012-1                       </v>
      </c>
      <c r="C84" s="28" t="str">
        <f>Source!G29</f>
        <v>Устройство опалубки</v>
      </c>
      <c r="D84" s="28" t="str">
        <f>Source!H29</f>
        <v>100 м2 площади горизонтальной проекции ростверков</v>
      </c>
      <c r="E84" s="29"/>
      <c r="F84" s="29">
        <v>0.26</v>
      </c>
      <c r="G84" s="29">
        <f>IF(Source!AB29=0,"-",ROUND(Source!AB29,2))</f>
        <v>68627.320000000007</v>
      </c>
      <c r="H84" s="29">
        <f>IF(Source!O29=0,"-",ROUND(Source!O29,2))</f>
        <v>17843</v>
      </c>
    </row>
    <row r="85" spans="1:8" s="15" customFormat="1" ht="11.25" hidden="1" x14ac:dyDescent="0.2">
      <c r="A85" s="30" t="s">
        <v>382</v>
      </c>
      <c r="B85" s="31" t="str">
        <f>SmtRes!I31</f>
        <v>1-1029</v>
      </c>
      <c r="C85" s="31" t="str">
        <f>SmtRes!K31</f>
        <v>Рабочий строитель среднего разряда 2,9</v>
      </c>
      <c r="D85" s="31" t="str">
        <f>SmtRes!O31</f>
        <v>чел.-ч</v>
      </c>
      <c r="E85" s="32">
        <f>ROUND(SmtRes!Y31,5)</f>
        <v>95.92</v>
      </c>
      <c r="F85" s="32">
        <f>ROUND(SmtRes!Y31*Source!I29,5)</f>
        <v>24.9392</v>
      </c>
      <c r="G85" s="32">
        <v>650</v>
      </c>
      <c r="H85" s="33">
        <f>IF(SmtRes!AK31*Source!I29=0,"-",ROUND(SmtRes!AK31*Source!I29*Source!BA29,2))</f>
        <v>16210.48</v>
      </c>
    </row>
    <row r="86" spans="1:8" s="15" customFormat="1" ht="11.25" hidden="1" x14ac:dyDescent="0.2">
      <c r="A86" s="30" t="s">
        <v>383</v>
      </c>
      <c r="B86" s="31" t="str">
        <f>SmtRes!I32</f>
        <v>2</v>
      </c>
      <c r="C86" s="31" t="str">
        <f>SmtRes!K32</f>
        <v>Затраты труда машинистов</v>
      </c>
      <c r="D86" s="31" t="str">
        <f>SmtRes!O32</f>
        <v>чел.час</v>
      </c>
      <c r="E86" s="32">
        <f>ROUND(SmtRes!Y32,5)</f>
        <v>0.34</v>
      </c>
      <c r="F86" s="32">
        <f>ROUND(SmtRes!Y32*Source!I29,5)</f>
        <v>8.8400000000000006E-2</v>
      </c>
      <c r="G86" s="32">
        <v>0</v>
      </c>
      <c r="H86" s="33">
        <f>ROUND(SmtRes!AI32*SmtRes!Y32*Source!I29,2)</f>
        <v>0</v>
      </c>
    </row>
    <row r="87" spans="1:8" hidden="1" x14ac:dyDescent="0.2">
      <c r="A87" s="71" t="s">
        <v>351</v>
      </c>
      <c r="B87" s="71"/>
      <c r="C87" s="71"/>
      <c r="D87" s="71"/>
      <c r="E87" s="71"/>
      <c r="F87" s="71"/>
      <c r="G87" s="71"/>
      <c r="H87" s="71"/>
    </row>
    <row r="88" spans="1:8" s="16" customFormat="1" ht="11.25" hidden="1" x14ac:dyDescent="0.2">
      <c r="A88" s="72" t="s">
        <v>384</v>
      </c>
      <c r="B88" s="74" t="str">
        <f>SmtRes!I33</f>
        <v>021141</v>
      </c>
      <c r="C88" s="74" t="str">
        <f>SmtRes!K33</f>
        <v>Краны на автомобильном ходу при работе на других видах строительства 10 т</v>
      </c>
      <c r="D88" s="74" t="str">
        <f>SmtRes!O33</f>
        <v>маш.-ч</v>
      </c>
      <c r="E88" s="75">
        <f>ROUND(SmtRes!Y33,5)</f>
        <v>7.0000000000000007E-2</v>
      </c>
      <c r="F88" s="75">
        <f>ROUND(SmtRes!Y33*Source!I29,5)</f>
        <v>1.8200000000000001E-2</v>
      </c>
      <c r="G88" s="34">
        <v>843.88</v>
      </c>
      <c r="H88" s="35">
        <f>IF(SmtRes!AK33*Source!I29=0,"-",ROUND(SmtRes!AK33*Source!I29*Source!BB29,2))</f>
        <v>15.36</v>
      </c>
    </row>
    <row r="89" spans="1:8" s="16" customFormat="1" ht="11.25" hidden="1" x14ac:dyDescent="0.2">
      <c r="A89" s="73"/>
      <c r="B89" s="73"/>
      <c r="C89" s="73"/>
      <c r="D89" s="73"/>
      <c r="E89" s="73"/>
      <c r="F89" s="73"/>
      <c r="G89" s="34">
        <v>274.41000000000003</v>
      </c>
      <c r="H89" s="35">
        <f>IF(SmtRes!AH33*SmtRes!Y33*Source!I29=0,"-",ROUND(SmtRes!AH33*SmtRes!Y33*Source!I29,2))</f>
        <v>4.99</v>
      </c>
    </row>
    <row r="90" spans="1:8" s="16" customFormat="1" ht="11.25" hidden="1" x14ac:dyDescent="0.2">
      <c r="A90" s="72" t="s">
        <v>385</v>
      </c>
      <c r="B90" s="74" t="str">
        <f>SmtRes!I34</f>
        <v>030101</v>
      </c>
      <c r="C90" s="74" t="str">
        <f>SmtRes!K34</f>
        <v>Автопогрузчики 5 т</v>
      </c>
      <c r="D90" s="74" t="str">
        <f>SmtRes!O34</f>
        <v>маш.-ч</v>
      </c>
      <c r="E90" s="75">
        <f>ROUND(SmtRes!Y34,5)</f>
        <v>0.27</v>
      </c>
      <c r="F90" s="75">
        <f>ROUND(SmtRes!Y34*Source!I29,5)</f>
        <v>7.0199999999999999E-2</v>
      </c>
      <c r="G90" s="34">
        <v>696.16</v>
      </c>
      <c r="H90" s="35">
        <f>IF(SmtRes!AK34*Source!I29=0,"-",ROUND(SmtRes!AK34*Source!I29*Source!BB29,2))</f>
        <v>48.87</v>
      </c>
    </row>
    <row r="91" spans="1:8" s="16" customFormat="1" ht="11.25" hidden="1" x14ac:dyDescent="0.2">
      <c r="A91" s="73"/>
      <c r="B91" s="73"/>
      <c r="C91" s="73"/>
      <c r="D91" s="73"/>
      <c r="E91" s="73"/>
      <c r="F91" s="73"/>
      <c r="G91" s="34">
        <v>204.49</v>
      </c>
      <c r="H91" s="35">
        <f>IF(SmtRes!AH34*SmtRes!Y34*Source!I29=0,"-",ROUND(SmtRes!AH34*SmtRes!Y34*Source!I29,2))</f>
        <v>14.36</v>
      </c>
    </row>
    <row r="92" spans="1:8" s="16" customFormat="1" ht="11.25" hidden="1" x14ac:dyDescent="0.2">
      <c r="A92" s="36" t="s">
        <v>386</v>
      </c>
      <c r="B92" s="37" t="str">
        <f>SmtRes!I35</f>
        <v>400001</v>
      </c>
      <c r="C92" s="37" t="str">
        <f>SmtRes!K35</f>
        <v>Автомобили бортовые, грузоподъемность до 5 т</v>
      </c>
      <c r="D92" s="37" t="str">
        <f>SmtRes!O35</f>
        <v>маш.-ч</v>
      </c>
      <c r="E92" s="34">
        <f>ROUND(SmtRes!Y35,5)</f>
        <v>0.1</v>
      </c>
      <c r="F92" s="34">
        <f>ROUND(SmtRes!Y35*Source!I29,5)</f>
        <v>2.5999999999999999E-2</v>
      </c>
      <c r="G92" s="34">
        <v>822.45</v>
      </c>
      <c r="H92" s="35">
        <f>IF(SmtRes!AK35*Source!I29=0,"-",ROUND(SmtRes!AK35*Source!I29*Source!BB29,2))</f>
        <v>21.38</v>
      </c>
    </row>
    <row r="93" spans="1:8" hidden="1" x14ac:dyDescent="0.2">
      <c r="A93" s="71" t="s">
        <v>358</v>
      </c>
      <c r="B93" s="71"/>
      <c r="C93" s="71"/>
      <c r="D93" s="71"/>
      <c r="E93" s="71"/>
      <c r="F93" s="71"/>
      <c r="G93" s="71"/>
      <c r="H93" s="71"/>
    </row>
    <row r="94" spans="1:8" s="17" customFormat="1" ht="11.25" hidden="1" x14ac:dyDescent="0.2">
      <c r="A94" s="38" t="s">
        <v>387</v>
      </c>
      <c r="B94" s="39" t="str">
        <f>SmtRes!I36</f>
        <v>101-1805</v>
      </c>
      <c r="C94" s="39" t="str">
        <f>SmtRes!K36</f>
        <v>Гвозди строительные</v>
      </c>
      <c r="D94" s="39" t="str">
        <f>SmtRes!O36</f>
        <v>т</v>
      </c>
      <c r="E94" s="40">
        <f>ROUND(SmtRes!Y36,5)</f>
        <v>1.47E-2</v>
      </c>
      <c r="F94" s="40">
        <f>ROUND(SmtRes!Y36*Source!I29,5)</f>
        <v>3.82E-3</v>
      </c>
      <c r="G94" s="40">
        <v>67818.78</v>
      </c>
      <c r="H94" s="41">
        <f>IF(SmtRes!AK36*Source!I29=0,"-",ROUND(SmtRes!AK36*Source!I29*Source!BC29,2))</f>
        <v>259.2</v>
      </c>
    </row>
    <row r="95" spans="1:8" s="17" customFormat="1" ht="22.5" hidden="1" x14ac:dyDescent="0.2">
      <c r="A95" s="38" t="s">
        <v>388</v>
      </c>
      <c r="B95" s="39" t="str">
        <f>SmtRes!I37</f>
        <v>102-0053</v>
      </c>
      <c r="C95" s="39" t="str">
        <f>SmtRes!K37</f>
        <v>Доски обрезные хвойных пород длиной 4-6,5 м, шириной 75-150 мм, толщиной 25 мм, III сорта</v>
      </c>
      <c r="D95" s="39" t="str">
        <f>SmtRes!O37</f>
        <v>м3</v>
      </c>
      <c r="E95" s="40">
        <f>ROUND(SmtRes!Y37,5)</f>
        <v>0.32</v>
      </c>
      <c r="F95" s="40">
        <f>ROUND(SmtRes!Y37*Source!I29,5)</f>
        <v>8.3199999999999996E-2</v>
      </c>
      <c r="G95" s="40">
        <v>4076.6</v>
      </c>
      <c r="H95" s="41">
        <f>IF(SmtRes!AK37*Source!I29=0,"-",ROUND(SmtRes!AK37*Source!I29*Source!BC29,2))</f>
        <v>339.17</v>
      </c>
    </row>
    <row r="96" spans="1:8" s="17" customFormat="1" ht="22.5" hidden="1" x14ac:dyDescent="0.2">
      <c r="A96" s="38" t="s">
        <v>389</v>
      </c>
      <c r="B96" s="39" t="str">
        <f>SmtRes!I38</f>
        <v>102-0061</v>
      </c>
      <c r="C96" s="39" t="str">
        <f>SmtRes!K38</f>
        <v>Доски обрезные хвойных пород длиной 4-6,5 м, шириной 75-150 мм, толщиной 44 мм и более, III сорта</v>
      </c>
      <c r="D96" s="39" t="str">
        <f>SmtRes!O38</f>
        <v>м3</v>
      </c>
      <c r="E96" s="40">
        <f>ROUND(SmtRes!Y38,5)</f>
        <v>0.42</v>
      </c>
      <c r="F96" s="40">
        <f>ROUND(SmtRes!Y38*Source!I29,5)</f>
        <v>0.10920000000000001</v>
      </c>
      <c r="G96" s="40">
        <v>3983.95</v>
      </c>
      <c r="H96" s="41">
        <f>IF(SmtRes!AK38*Source!I29=0,"-",ROUND(SmtRes!AK38*Source!I29*Source!BC29,2))</f>
        <v>435.05</v>
      </c>
    </row>
    <row r="97" spans="1:8" s="17" customFormat="1" ht="11.25" hidden="1" x14ac:dyDescent="0.2">
      <c r="A97" s="38" t="s">
        <v>390</v>
      </c>
      <c r="B97" s="39" t="str">
        <f>SmtRes!I39</f>
        <v>203-0512</v>
      </c>
      <c r="C97" s="39" t="str">
        <f>SmtRes!K39</f>
        <v>Щиты из досок толщиной 40 мм</v>
      </c>
      <c r="D97" s="39" t="str">
        <f>SmtRes!O39</f>
        <v>м2</v>
      </c>
      <c r="E97" s="40">
        <f>ROUND(SmtRes!Y39,5)</f>
        <v>5.44</v>
      </c>
      <c r="F97" s="40">
        <f>ROUND(SmtRes!Y39*Source!I29,5)</f>
        <v>1.4144000000000001</v>
      </c>
      <c r="G97" s="40">
        <v>350.39</v>
      </c>
      <c r="H97" s="41">
        <f>IF(SmtRes!AK39*Source!I29=0,"-",ROUND(SmtRes!AK39*Source!I29*Source!BC29,2))</f>
        <v>495.59</v>
      </c>
    </row>
    <row r="98" spans="1:8" s="17" customFormat="1" ht="11.25" hidden="1" x14ac:dyDescent="0.2">
      <c r="A98" s="38" t="s">
        <v>391</v>
      </c>
      <c r="B98" s="39" t="str">
        <f>SmtRes!I40</f>
        <v>405-0253</v>
      </c>
      <c r="C98" s="39" t="str">
        <f>SmtRes!K40</f>
        <v>Известь строительная негашеная комовая, сорт I</v>
      </c>
      <c r="D98" s="39" t="str">
        <f>SmtRes!O40</f>
        <v>т</v>
      </c>
      <c r="E98" s="40">
        <f>ROUND(SmtRes!Y40,5)</f>
        <v>2.1000000000000001E-2</v>
      </c>
      <c r="F98" s="40">
        <f>ROUND(SmtRes!Y40*Source!I29,5)</f>
        <v>5.4599999999999996E-3</v>
      </c>
      <c r="G98" s="40">
        <v>3242.75</v>
      </c>
      <c r="H98" s="41">
        <f>IF(SmtRes!AK40*Source!I29=0,"-",ROUND(SmtRes!AK40*Source!I29*Source!BC29,2))</f>
        <v>17.71</v>
      </c>
    </row>
    <row r="99" spans="1:8" s="17" customFormat="1" ht="11.25" hidden="1" x14ac:dyDescent="0.2">
      <c r="A99" s="38" t="s">
        <v>392</v>
      </c>
      <c r="B99" s="39" t="str">
        <f>SmtRes!I41</f>
        <v>411-0001</v>
      </c>
      <c r="C99" s="39" t="str">
        <f>SmtRes!K41</f>
        <v>Вода</v>
      </c>
      <c r="D99" s="39" t="str">
        <f>SmtRes!O41</f>
        <v>м3</v>
      </c>
      <c r="E99" s="40">
        <f>ROUND(SmtRes!Y41,5)</f>
        <v>6.0999999999999999E-2</v>
      </c>
      <c r="F99" s="40">
        <f>ROUND(SmtRes!Y41*Source!I29,5)</f>
        <v>1.5859999999999999E-2</v>
      </c>
      <c r="G99" s="40">
        <v>18.29</v>
      </c>
      <c r="H99" s="41">
        <f>IF(SmtRes!AK41*Source!I29=0,"-",ROUND(SmtRes!AK41*Source!I29*Source!BC29,2))</f>
        <v>0.28999999999999998</v>
      </c>
    </row>
    <row r="100" spans="1:8" ht="2.1" customHeight="1" x14ac:dyDescent="0.2">
      <c r="A100" s="42"/>
      <c r="B100" s="42"/>
      <c r="C100" s="42"/>
      <c r="D100" s="42"/>
      <c r="E100" s="42"/>
      <c r="F100" s="42"/>
      <c r="G100" s="42"/>
      <c r="H100" s="42"/>
    </row>
    <row r="101" spans="1:8" x14ac:dyDescent="0.2">
      <c r="A101" s="42"/>
      <c r="B101" s="42"/>
      <c r="C101" s="42" t="s">
        <v>152</v>
      </c>
      <c r="D101" s="42"/>
      <c r="E101" s="42"/>
      <c r="F101" s="42"/>
      <c r="G101" s="43" t="str">
        <f>CONCATENATE(Source!AT29,"%")</f>
        <v>95%</v>
      </c>
      <c r="H101" s="42">
        <f>IF(Source!X29=0,"",ROUND(Source!X29,2))</f>
        <v>15418</v>
      </c>
    </row>
    <row r="102" spans="1:8" x14ac:dyDescent="0.2">
      <c r="A102" s="42"/>
      <c r="B102" s="42"/>
      <c r="C102" s="42" t="s">
        <v>154</v>
      </c>
      <c r="D102" s="42"/>
      <c r="E102" s="42"/>
      <c r="F102" s="42"/>
      <c r="G102" s="43" t="str">
        <f>CONCATENATE(Source!AU29,"%")</f>
        <v>55%</v>
      </c>
      <c r="H102" s="42">
        <f>IF(Source!Y29=0,"",ROUND(Source!Y29,2))</f>
        <v>8926</v>
      </c>
    </row>
    <row r="103" spans="1:8" x14ac:dyDescent="0.2">
      <c r="A103" s="44"/>
      <c r="B103" s="44"/>
      <c r="C103" s="44" t="s">
        <v>364</v>
      </c>
      <c r="D103" s="44"/>
      <c r="E103" s="44"/>
      <c r="F103" s="44"/>
      <c r="G103" s="44"/>
      <c r="H103" s="44">
        <f>IF(Source!Y29+Source!X29+Source!O29=0,"",ROUND(Source!Y29+Source!X29+Source!O29,2))</f>
        <v>42187</v>
      </c>
    </row>
    <row r="104" spans="1:8" s="14" customFormat="1" ht="25.5" x14ac:dyDescent="0.2">
      <c r="A104" s="24" t="str">
        <f>Source!E30</f>
        <v>7</v>
      </c>
      <c r="B104" s="25" t="str">
        <f>CONCATENATE(Source!F30,"                       ", Source!EO30)</f>
        <v xml:space="preserve">102-0053                       </v>
      </c>
      <c r="C104" s="25" t="str">
        <f>Source!G30</f>
        <v>Доски обрезные хвойных пород длиной 4-6,5 м, шириной 75-150 мм</v>
      </c>
      <c r="D104" s="25" t="str">
        <f>Source!H30</f>
        <v>м3</v>
      </c>
      <c r="E104" s="26"/>
      <c r="F104" s="26">
        <v>3</v>
      </c>
      <c r="G104" s="26">
        <f>IF(Source!AB30=0,"-",ROUND(Source!AB30,2))</f>
        <v>4076.6</v>
      </c>
      <c r="H104" s="26">
        <f>IF(Source!O30=0,"-",ROUND(Source!O30,2))</f>
        <v>12230</v>
      </c>
    </row>
    <row r="105" spans="1:8" s="14" customFormat="1" x14ac:dyDescent="0.2">
      <c r="A105" s="24" t="str">
        <f>Source!E31</f>
        <v>8</v>
      </c>
      <c r="B105" s="25" t="str">
        <f>CONCATENATE(Source!F31,"                       ", Source!EO31)</f>
        <v xml:space="preserve">101-1805                       </v>
      </c>
      <c r="C105" s="25" t="str">
        <f>Source!G31</f>
        <v>Саморезы</v>
      </c>
      <c r="D105" s="25" t="str">
        <f>Source!H31</f>
        <v>т</v>
      </c>
      <c r="E105" s="26"/>
      <c r="F105" s="26">
        <v>0.03</v>
      </c>
      <c r="G105" s="26">
        <f>IF(Source!AB31=0,"-",ROUND(Source!AB31,2))</f>
        <v>67818.78</v>
      </c>
      <c r="H105" s="26">
        <f>IF(Source!O31=0,"-",ROUND(Source!O31,2))</f>
        <v>2035</v>
      </c>
    </row>
    <row r="106" spans="1:8" s="14" customFormat="1" ht="25.5" customHeight="1" x14ac:dyDescent="0.2">
      <c r="A106" s="27" t="str">
        <f>Source!E32</f>
        <v>9</v>
      </c>
      <c r="B106" s="28" t="str">
        <f>CONCATENATE(Source!F32,"                       ", Source!EO32)</f>
        <v xml:space="preserve">27-07-005-1                       </v>
      </c>
      <c r="C106" s="28" t="str">
        <f>Source!G32</f>
        <v>Устройство покрытий из гранитной  плитки</v>
      </c>
      <c r="D106" s="28" t="str">
        <f>Source!H32</f>
        <v>10 м2</v>
      </c>
      <c r="E106" s="29"/>
      <c r="F106" s="29">
        <v>2.6</v>
      </c>
      <c r="G106" s="29">
        <f>IF(Source!AB32=0,"-",ROUND(Source!AB32,2))</f>
        <v>28139.49</v>
      </c>
      <c r="H106" s="29">
        <f>IF(Source!O32=0,"-",ROUND(Source!O32,2))</f>
        <v>73163</v>
      </c>
    </row>
    <row r="107" spans="1:8" s="15" customFormat="1" ht="11.25" hidden="1" x14ac:dyDescent="0.2">
      <c r="A107" s="30" t="s">
        <v>393</v>
      </c>
      <c r="B107" s="31" t="str">
        <f>SmtRes!I42</f>
        <v>1-1039</v>
      </c>
      <c r="C107" s="31" t="str">
        <f>SmtRes!K42</f>
        <v>Рабочий строитель среднего разряда 3,9</v>
      </c>
      <c r="D107" s="31" t="str">
        <f>SmtRes!O42</f>
        <v>чел.-ч</v>
      </c>
      <c r="E107" s="32">
        <f>ROUND(SmtRes!Y42,5)</f>
        <v>10.5</v>
      </c>
      <c r="F107" s="32">
        <f>ROUND(SmtRes!Y42*Source!I32,5)</f>
        <v>27.3</v>
      </c>
      <c r="G107" s="32">
        <v>95</v>
      </c>
      <c r="H107" s="33">
        <f>IF(SmtRes!AK42*Source!I32=0,"-",ROUND(SmtRes!AK42*Source!I32*Source!BA32,2))</f>
        <v>2593.5</v>
      </c>
    </row>
    <row r="108" spans="1:8" s="15" customFormat="1" ht="11.25" hidden="1" x14ac:dyDescent="0.2">
      <c r="A108" s="30" t="s">
        <v>394</v>
      </c>
      <c r="B108" s="31" t="str">
        <f>SmtRes!I43</f>
        <v>2</v>
      </c>
      <c r="C108" s="31" t="str">
        <f>SmtRes!K43</f>
        <v>Затраты труда машинистов</v>
      </c>
      <c r="D108" s="31" t="str">
        <f>SmtRes!O43</f>
        <v>чел.час</v>
      </c>
      <c r="E108" s="32">
        <f>ROUND(SmtRes!Y43,5)</f>
        <v>0.06</v>
      </c>
      <c r="F108" s="32">
        <f>ROUND(SmtRes!Y43*Source!I32,5)</f>
        <v>0.156</v>
      </c>
      <c r="G108" s="32">
        <v>0</v>
      </c>
      <c r="H108" s="33">
        <f>ROUND(SmtRes!AI43*SmtRes!Y43*Source!I32,2)</f>
        <v>0</v>
      </c>
    </row>
    <row r="109" spans="1:8" hidden="1" x14ac:dyDescent="0.2">
      <c r="A109" s="71" t="s">
        <v>351</v>
      </c>
      <c r="B109" s="71"/>
      <c r="C109" s="71"/>
      <c r="D109" s="71"/>
      <c r="E109" s="71"/>
      <c r="F109" s="71"/>
      <c r="G109" s="71"/>
      <c r="H109" s="71"/>
    </row>
    <row r="110" spans="1:8" s="16" customFormat="1" ht="11.25" hidden="1" x14ac:dyDescent="0.2">
      <c r="A110" s="72" t="s">
        <v>395</v>
      </c>
      <c r="B110" s="74" t="str">
        <f>SmtRes!I44</f>
        <v>030101</v>
      </c>
      <c r="C110" s="74" t="str">
        <f>SmtRes!K44</f>
        <v>Автопогрузчики 5 т</v>
      </c>
      <c r="D110" s="74" t="str">
        <f>SmtRes!O44</f>
        <v>маш.-ч</v>
      </c>
      <c r="E110" s="75">
        <f>ROUND(SmtRes!Y44,5)</f>
        <v>0.03</v>
      </c>
      <c r="F110" s="75">
        <f>ROUND(SmtRes!Y44*Source!I32,5)</f>
        <v>7.8E-2</v>
      </c>
      <c r="G110" s="34">
        <v>696.16</v>
      </c>
      <c r="H110" s="35">
        <f>IF(SmtRes!AK44*Source!I32=0,"-",ROUND(SmtRes!AK44*Source!I32*Source!BB32,2))</f>
        <v>54.3</v>
      </c>
    </row>
    <row r="111" spans="1:8" s="16" customFormat="1" ht="11.25" hidden="1" x14ac:dyDescent="0.2">
      <c r="A111" s="73"/>
      <c r="B111" s="73"/>
      <c r="C111" s="73"/>
      <c r="D111" s="73"/>
      <c r="E111" s="73"/>
      <c r="F111" s="73"/>
      <c r="G111" s="34">
        <v>204.49</v>
      </c>
      <c r="H111" s="35">
        <f>IF(SmtRes!AH44*SmtRes!Y44*Source!I32=0,"-",ROUND(SmtRes!AH44*SmtRes!Y44*Source!I32,2))</f>
        <v>15.95</v>
      </c>
    </row>
    <row r="112" spans="1:8" s="16" customFormat="1" ht="11.25" hidden="1" x14ac:dyDescent="0.2">
      <c r="A112" s="72" t="s">
        <v>396</v>
      </c>
      <c r="B112" s="74" t="str">
        <f>SmtRes!I45</f>
        <v>121601</v>
      </c>
      <c r="C112" s="74" t="str">
        <f>SmtRes!K45</f>
        <v>Машины поливомоечные 6000 л</v>
      </c>
      <c r="D112" s="74" t="str">
        <f>SmtRes!O45</f>
        <v>маш.-ч</v>
      </c>
      <c r="E112" s="75">
        <f>ROUND(SmtRes!Y45,5)</f>
        <v>0.03</v>
      </c>
      <c r="F112" s="75">
        <f>ROUND(SmtRes!Y45*Source!I32,5)</f>
        <v>7.8E-2</v>
      </c>
      <c r="G112" s="34">
        <v>989.22</v>
      </c>
      <c r="H112" s="35">
        <f>IF(SmtRes!AK45*Source!I32=0,"-",ROUND(SmtRes!AK45*Source!I32*Source!BB32,2))</f>
        <v>77.16</v>
      </c>
    </row>
    <row r="113" spans="1:8" s="16" customFormat="1" ht="11.25" hidden="1" x14ac:dyDescent="0.2">
      <c r="A113" s="73"/>
      <c r="B113" s="73"/>
      <c r="C113" s="73"/>
      <c r="D113" s="73"/>
      <c r="E113" s="73"/>
      <c r="F113" s="73"/>
      <c r="G113" s="34">
        <v>235.87</v>
      </c>
      <c r="H113" s="35">
        <f>IF(SmtRes!AH45*SmtRes!Y45*Source!I32=0,"-",ROUND(SmtRes!AH45*SmtRes!Y45*Source!I32,2))</f>
        <v>18.399999999999999</v>
      </c>
    </row>
    <row r="114" spans="1:8" s="16" customFormat="1" ht="11.25" hidden="1" x14ac:dyDescent="0.2">
      <c r="A114" s="36" t="s">
        <v>397</v>
      </c>
      <c r="B114" s="37" t="str">
        <f>SmtRes!I46</f>
        <v>122899</v>
      </c>
      <c r="C114" s="37" t="str">
        <f>SmtRes!K46</f>
        <v>Виброплита электрическая</v>
      </c>
      <c r="D114" s="37" t="str">
        <f>SmtRes!O46</f>
        <v>маш.-ч</v>
      </c>
      <c r="E114" s="34">
        <f>ROUND(SmtRes!Y46,5)</f>
        <v>0.56999999999999995</v>
      </c>
      <c r="F114" s="34">
        <f>ROUND(SmtRes!Y46*Source!I32,5)</f>
        <v>1.482</v>
      </c>
      <c r="G114" s="34">
        <v>23.16</v>
      </c>
      <c r="H114" s="35">
        <f>IF(SmtRes!AK46*Source!I32=0,"-",ROUND(SmtRes!AK46*Source!I32*Source!BB32,2))</f>
        <v>34.32</v>
      </c>
    </row>
    <row r="115" spans="1:8" s="16" customFormat="1" ht="11.25" hidden="1" x14ac:dyDescent="0.2">
      <c r="A115" s="36" t="s">
        <v>398</v>
      </c>
      <c r="B115" s="37" t="str">
        <f>SmtRes!I47</f>
        <v>400001</v>
      </c>
      <c r="C115" s="37" t="str">
        <f>SmtRes!K47</f>
        <v>Автомобили бортовые, грузоподъемность до 5 т</v>
      </c>
      <c r="D115" s="37" t="str">
        <f>SmtRes!O47</f>
        <v>маш.-ч</v>
      </c>
      <c r="E115" s="34">
        <f>ROUND(SmtRes!Y47,5)</f>
        <v>0.03</v>
      </c>
      <c r="F115" s="34">
        <f>ROUND(SmtRes!Y47*Source!I32,5)</f>
        <v>7.8E-2</v>
      </c>
      <c r="G115" s="34">
        <v>822.45</v>
      </c>
      <c r="H115" s="35">
        <f>IF(SmtRes!AK47*Source!I32=0,"-",ROUND(SmtRes!AK47*Source!I32*Source!BB32,2))</f>
        <v>64.150000000000006</v>
      </c>
    </row>
    <row r="116" spans="1:8" hidden="1" x14ac:dyDescent="0.2">
      <c r="A116" s="71" t="s">
        <v>358</v>
      </c>
      <c r="B116" s="71"/>
      <c r="C116" s="71"/>
      <c r="D116" s="71"/>
      <c r="E116" s="71"/>
      <c r="F116" s="71"/>
      <c r="G116" s="71"/>
      <c r="H116" s="71"/>
    </row>
    <row r="117" spans="1:8" s="17" customFormat="1" ht="11.25" hidden="1" x14ac:dyDescent="0.2">
      <c r="A117" s="38" t="s">
        <v>399</v>
      </c>
      <c r="B117" s="39" t="str">
        <f>SmtRes!I48</f>
        <v>403-9137</v>
      </c>
      <c r="C117" s="39" t="str">
        <f>SmtRes!K48</f>
        <v>Плитка тротуарная</v>
      </c>
      <c r="D117" s="39" t="str">
        <f>SmtRes!O48</f>
        <v>м2</v>
      </c>
      <c r="E117" s="40">
        <f>ROUND(SmtRes!Y48,5)</f>
        <v>10.199999999999999</v>
      </c>
      <c r="F117" s="40">
        <f>ROUND(SmtRes!Y48*Source!I32,5)</f>
        <v>26.52</v>
      </c>
      <c r="G117" s="40">
        <v>2650</v>
      </c>
      <c r="H117" s="41">
        <f>IF(SmtRes!AK48*Source!I32=0,"-",ROUND(SmtRes!AK48*Source!I32*Source!BC32,2))</f>
        <v>70278</v>
      </c>
    </row>
    <row r="118" spans="1:8" s="17" customFormat="1" ht="11.25" hidden="1" x14ac:dyDescent="0.2">
      <c r="A118" s="38" t="s">
        <v>400</v>
      </c>
      <c r="B118" s="39" t="str">
        <f>SmtRes!I49</f>
        <v>408-0122</v>
      </c>
      <c r="C118" s="39" t="str">
        <f>SmtRes!K49</f>
        <v>Песок природный для строительных работ средний</v>
      </c>
      <c r="D118" s="39" t="str">
        <f>SmtRes!O49</f>
        <v>м3</v>
      </c>
      <c r="E118" s="40">
        <f>ROUND(SmtRes!Y49,5)</f>
        <v>0.05</v>
      </c>
      <c r="F118" s="40">
        <f>ROUND(SmtRes!Y49*Source!I32,5)</f>
        <v>0.13</v>
      </c>
      <c r="G118" s="40">
        <v>397.8</v>
      </c>
      <c r="H118" s="41">
        <f>IF(SmtRes!AK49*Source!I32=0,"-",ROUND(SmtRes!AK49*Source!I32*Source!BC32,2))</f>
        <v>51.71</v>
      </c>
    </row>
    <row r="119" spans="1:8" s="17" customFormat="1" ht="11.25" hidden="1" x14ac:dyDescent="0.2">
      <c r="A119" s="38" t="s">
        <v>401</v>
      </c>
      <c r="B119" s="39" t="str">
        <f>SmtRes!I50</f>
        <v>411-0001</v>
      </c>
      <c r="C119" s="39" t="str">
        <f>SmtRes!K50</f>
        <v>Вода</v>
      </c>
      <c r="D119" s="39" t="str">
        <f>SmtRes!O50</f>
        <v>м3</v>
      </c>
      <c r="E119" s="40">
        <f>ROUND(SmtRes!Y50,5)</f>
        <v>0.2</v>
      </c>
      <c r="F119" s="40">
        <f>ROUND(SmtRes!Y50*Source!I32,5)</f>
        <v>0.52</v>
      </c>
      <c r="G119" s="40">
        <v>18.29</v>
      </c>
      <c r="H119" s="41">
        <f>IF(SmtRes!AK50*Source!I32=0,"-",ROUND(SmtRes!AK50*Source!I32*Source!BC32,2))</f>
        <v>9.51</v>
      </c>
    </row>
    <row r="120" spans="1:8" ht="2.1" customHeight="1" x14ac:dyDescent="0.2">
      <c r="A120" s="42"/>
      <c r="B120" s="42"/>
      <c r="C120" s="42"/>
      <c r="D120" s="42"/>
      <c r="E120" s="42"/>
      <c r="F120" s="42"/>
      <c r="G120" s="42"/>
      <c r="H120" s="42"/>
    </row>
    <row r="121" spans="1:8" x14ac:dyDescent="0.2">
      <c r="A121" s="42"/>
      <c r="B121" s="42"/>
      <c r="C121" s="42" t="s">
        <v>152</v>
      </c>
      <c r="D121" s="42"/>
      <c r="E121" s="42"/>
      <c r="F121" s="42"/>
      <c r="G121" s="43" t="str">
        <f>CONCATENATE(Source!AT32,"%")</f>
        <v>128%</v>
      </c>
      <c r="H121" s="42">
        <f>IF(Source!X32=0,"",ROUND(Source!X32,2))</f>
        <v>3364</v>
      </c>
    </row>
    <row r="122" spans="1:8" x14ac:dyDescent="0.2">
      <c r="A122" s="42"/>
      <c r="B122" s="42"/>
      <c r="C122" s="42" t="s">
        <v>154</v>
      </c>
      <c r="D122" s="42"/>
      <c r="E122" s="42"/>
      <c r="F122" s="42"/>
      <c r="G122" s="43" t="str">
        <f>CONCATENATE(Source!AU32,"%")</f>
        <v>81%</v>
      </c>
      <c r="H122" s="42">
        <f>IF(Source!Y32=0,"",ROUND(Source!Y32,2))</f>
        <v>2129</v>
      </c>
    </row>
    <row r="123" spans="1:8" x14ac:dyDescent="0.2">
      <c r="A123" s="44"/>
      <c r="B123" s="44"/>
      <c r="C123" s="44" t="s">
        <v>364</v>
      </c>
      <c r="D123" s="44"/>
      <c r="E123" s="44"/>
      <c r="F123" s="44"/>
      <c r="G123" s="44"/>
      <c r="H123" s="44">
        <f>IF(Source!Y32+Source!X32+Source!O32=0,"",ROUND(Source!Y32+Source!X32+Source!O32,2))</f>
        <v>78656</v>
      </c>
    </row>
    <row r="124" spans="1:8" s="14" customFormat="1" x14ac:dyDescent="0.2">
      <c r="A124" s="24" t="str">
        <f>Source!E33</f>
        <v>10</v>
      </c>
      <c r="B124" s="25" t="str">
        <f>CONCATENATE(Source!F33,"                       ", Source!EO33)</f>
        <v xml:space="preserve">Прайс-лист                       </v>
      </c>
      <c r="C124" s="25" t="str">
        <f>Source!G33</f>
        <v>Гранит Shanxi Black 60*60*2  см</v>
      </c>
      <c r="D124" s="25" t="str">
        <f>Source!H33</f>
        <v>м2</v>
      </c>
      <c r="E124" s="26"/>
      <c r="F124" s="26">
        <v>26</v>
      </c>
      <c r="G124" s="26">
        <f>IF(Source!AB33=0,"-",ROUND(Source!AB33,2))</f>
        <v>5840</v>
      </c>
      <c r="H124" s="26">
        <f>IF(Source!O33=0,"-",ROUND(Source!O33,2))</f>
        <v>151840</v>
      </c>
    </row>
    <row r="125" spans="1:8" s="14" customFormat="1" ht="51" x14ac:dyDescent="0.2">
      <c r="A125" s="27" t="str">
        <f>Source!E34</f>
        <v>11</v>
      </c>
      <c r="B125" s="28" t="str">
        <f>CONCATENATE(Source!F34,"                       ", Source!EO34)</f>
        <v xml:space="preserve">07-01-001-1                       </v>
      </c>
      <c r="C125" s="28" t="str">
        <f>Source!G34</f>
        <v>Монтаж  плит</v>
      </c>
      <c r="D125" s="28" t="str">
        <f>Source!H34</f>
        <v>100 шт. сборных конструкций</v>
      </c>
      <c r="E125" s="29"/>
      <c r="F125" s="29">
        <v>0.05</v>
      </c>
      <c r="G125" s="29">
        <f>IF(Source!AB34=0,"-",ROUND(Source!AB34,2))</f>
        <v>1779839.01</v>
      </c>
      <c r="H125" s="29">
        <f>IF(Source!O34=0,"-",ROUND(Source!O34,2))</f>
        <v>88992</v>
      </c>
    </row>
    <row r="126" spans="1:8" s="15" customFormat="1" ht="11.25" hidden="1" x14ac:dyDescent="0.2">
      <c r="A126" s="30" t="s">
        <v>402</v>
      </c>
      <c r="B126" s="31" t="str">
        <f>SmtRes!I51</f>
        <v>1-1032</v>
      </c>
      <c r="C126" s="31" t="str">
        <f>SmtRes!K51</f>
        <v>Рабочий строитель среднего разряда 3,2</v>
      </c>
      <c r="D126" s="31" t="str">
        <f>SmtRes!O51</f>
        <v>чел.-ч</v>
      </c>
      <c r="E126" s="32">
        <f>ROUND(SmtRes!Y51,5)</f>
        <v>72.37</v>
      </c>
      <c r="F126" s="32">
        <f>ROUND(SmtRes!Y51*Source!I34,5)</f>
        <v>3.6185</v>
      </c>
      <c r="G126" s="32">
        <v>177.68</v>
      </c>
      <c r="H126" s="33">
        <f>IF(SmtRes!AK51*Source!I34=0,"-",ROUND(SmtRes!AK51*Source!I34*Source!BA34,2))</f>
        <v>642.94000000000005</v>
      </c>
    </row>
    <row r="127" spans="1:8" s="15" customFormat="1" ht="11.25" hidden="1" x14ac:dyDescent="0.2">
      <c r="A127" s="30" t="s">
        <v>403</v>
      </c>
      <c r="B127" s="31" t="str">
        <f>SmtRes!I52</f>
        <v>2</v>
      </c>
      <c r="C127" s="31" t="str">
        <f>SmtRes!K52</f>
        <v>Затраты труда машинистов</v>
      </c>
      <c r="D127" s="31" t="str">
        <f>SmtRes!O52</f>
        <v>чел.час</v>
      </c>
      <c r="E127" s="32">
        <f>ROUND(SmtRes!Y52,5)</f>
        <v>23.38</v>
      </c>
      <c r="F127" s="32">
        <f>ROUND(SmtRes!Y52*Source!I34,5)</f>
        <v>1.169</v>
      </c>
      <c r="G127" s="32">
        <v>0</v>
      </c>
      <c r="H127" s="33">
        <f>ROUND(SmtRes!AI52*SmtRes!Y52*Source!I34,2)</f>
        <v>0</v>
      </c>
    </row>
    <row r="128" spans="1:8" hidden="1" x14ac:dyDescent="0.2">
      <c r="A128" s="71" t="s">
        <v>351</v>
      </c>
      <c r="B128" s="71"/>
      <c r="C128" s="71"/>
      <c r="D128" s="71"/>
      <c r="E128" s="71"/>
      <c r="F128" s="71"/>
      <c r="G128" s="71"/>
      <c r="H128" s="71"/>
    </row>
    <row r="129" spans="1:8" s="16" customFormat="1" ht="11.25" hidden="1" x14ac:dyDescent="0.2">
      <c r="A129" s="72" t="s">
        <v>404</v>
      </c>
      <c r="B129" s="74" t="str">
        <f>SmtRes!I53</f>
        <v>021243</v>
      </c>
      <c r="C129" s="74" t="str">
        <f>SmtRes!K53</f>
        <v>Краны на гусеничном ходу при работе на других видах строительства до 16 т</v>
      </c>
      <c r="D129" s="74" t="str">
        <f>SmtRes!O53</f>
        <v>маш.-ч</v>
      </c>
      <c r="E129" s="75">
        <f>ROUND(SmtRes!Y53,5)</f>
        <v>22.03</v>
      </c>
      <c r="F129" s="75">
        <f>ROUND(SmtRes!Y53*Source!I34,5)</f>
        <v>1.1014999999999999</v>
      </c>
      <c r="G129" s="34">
        <v>661.15</v>
      </c>
      <c r="H129" s="35">
        <f>IF(SmtRes!AK53*Source!I34=0,"-",ROUND(SmtRes!AK53*Source!I34*Source!BB34,2))</f>
        <v>728.26</v>
      </c>
    </row>
    <row r="130" spans="1:8" s="16" customFormat="1" ht="11.25" hidden="1" x14ac:dyDescent="0.2">
      <c r="A130" s="73"/>
      <c r="B130" s="73"/>
      <c r="C130" s="73"/>
      <c r="D130" s="73"/>
      <c r="E130" s="73"/>
      <c r="F130" s="73"/>
      <c r="G130" s="34">
        <v>274.41000000000003</v>
      </c>
      <c r="H130" s="35">
        <f>IF(SmtRes!AH53*SmtRes!Y53*Source!I34=0,"-",ROUND(SmtRes!AH53*SmtRes!Y53*Source!I34,2))</f>
        <v>302.26</v>
      </c>
    </row>
    <row r="131" spans="1:8" s="16" customFormat="1" ht="11.25" hidden="1" x14ac:dyDescent="0.2">
      <c r="A131" s="72" t="s">
        <v>405</v>
      </c>
      <c r="B131" s="74" t="str">
        <f>SmtRes!I54</f>
        <v>030101</v>
      </c>
      <c r="C131" s="74" t="str">
        <f>SmtRes!K54</f>
        <v>Автопогрузчики 5 т</v>
      </c>
      <c r="D131" s="74" t="str">
        <f>SmtRes!O54</f>
        <v>маш.-ч</v>
      </c>
      <c r="E131" s="75">
        <f>ROUND(SmtRes!Y54,5)</f>
        <v>1.06</v>
      </c>
      <c r="F131" s="75">
        <f>ROUND(SmtRes!Y54*Source!I34,5)</f>
        <v>5.2999999999999999E-2</v>
      </c>
      <c r="G131" s="34">
        <v>696.16</v>
      </c>
      <c r="H131" s="35">
        <f>IF(SmtRes!AK54*Source!I34=0,"-",ROUND(SmtRes!AK54*Source!I34*Source!BB34,2))</f>
        <v>36.9</v>
      </c>
    </row>
    <row r="132" spans="1:8" s="16" customFormat="1" ht="11.25" hidden="1" x14ac:dyDescent="0.2">
      <c r="A132" s="73"/>
      <c r="B132" s="73"/>
      <c r="C132" s="73"/>
      <c r="D132" s="73"/>
      <c r="E132" s="73"/>
      <c r="F132" s="73"/>
      <c r="G132" s="34">
        <v>204.49</v>
      </c>
      <c r="H132" s="35">
        <f>IF(SmtRes!AH54*SmtRes!Y54*Source!I34=0,"-",ROUND(SmtRes!AH54*SmtRes!Y54*Source!I34,2))</f>
        <v>10.84</v>
      </c>
    </row>
    <row r="133" spans="1:8" s="16" customFormat="1" ht="11.25" hidden="1" x14ac:dyDescent="0.2">
      <c r="A133" s="72" t="s">
        <v>406</v>
      </c>
      <c r="B133" s="74" t="str">
        <f>SmtRes!I55</f>
        <v>050101</v>
      </c>
      <c r="C133" s="74" t="str">
        <f>SmtRes!K55</f>
        <v>Компрессоры передвижные с двигателем внутреннего сгорания давлением до 686 кПа (7 ат), производительность  до 5 м3/мин</v>
      </c>
      <c r="D133" s="74" t="str">
        <f>SmtRes!O55</f>
        <v>маш.-ч</v>
      </c>
      <c r="E133" s="75">
        <f>ROUND(SmtRes!Y55,5)</f>
        <v>0.28999999999999998</v>
      </c>
      <c r="F133" s="75">
        <f>ROUND(SmtRes!Y55*Source!I34,5)</f>
        <v>1.4500000000000001E-2</v>
      </c>
      <c r="G133" s="34">
        <v>660.86</v>
      </c>
      <c r="H133" s="35">
        <f>IF(SmtRes!AK55*Source!I34=0,"-",ROUND(SmtRes!AK55*Source!I34*Source!BB34,2))</f>
        <v>9.58</v>
      </c>
    </row>
    <row r="134" spans="1:8" s="16" customFormat="1" ht="11.25" hidden="1" x14ac:dyDescent="0.2">
      <c r="A134" s="73"/>
      <c r="B134" s="73"/>
      <c r="C134" s="73"/>
      <c r="D134" s="73"/>
      <c r="E134" s="73"/>
      <c r="F134" s="73"/>
      <c r="G134" s="34">
        <v>204.49</v>
      </c>
      <c r="H134" s="35">
        <f>IF(SmtRes!AH55*SmtRes!Y55*Source!I34=0,"-",ROUND(SmtRes!AH55*SmtRes!Y55*Source!I34,2))</f>
        <v>2.97</v>
      </c>
    </row>
    <row r="135" spans="1:8" s="16" customFormat="1" ht="22.5" hidden="1" x14ac:dyDescent="0.2">
      <c r="A135" s="36" t="s">
        <v>407</v>
      </c>
      <c r="B135" s="37" t="str">
        <f>SmtRes!I56</f>
        <v>331101</v>
      </c>
      <c r="C135" s="37" t="str">
        <f>SmtRes!K56</f>
        <v>Трамбовки пневматические при работе от стационарного компрессора</v>
      </c>
      <c r="D135" s="37" t="str">
        <f>SmtRes!O56</f>
        <v>маш.-ч</v>
      </c>
      <c r="E135" s="34">
        <f>ROUND(SmtRes!Y56,5)</f>
        <v>1.17</v>
      </c>
      <c r="F135" s="34">
        <f>ROUND(SmtRes!Y56*Source!I34,5)</f>
        <v>5.8500000000000003E-2</v>
      </c>
      <c r="G135" s="34">
        <v>39.58</v>
      </c>
      <c r="H135" s="35">
        <f>IF(SmtRes!AK56*Source!I34=0,"-",ROUND(SmtRes!AK56*Source!I34*Source!BB34,2))</f>
        <v>2.3199999999999998</v>
      </c>
    </row>
    <row r="136" spans="1:8" s="16" customFormat="1" ht="11.25" hidden="1" x14ac:dyDescent="0.2">
      <c r="A136" s="36" t="s">
        <v>408</v>
      </c>
      <c r="B136" s="37" t="str">
        <f>SmtRes!I57</f>
        <v>400001</v>
      </c>
      <c r="C136" s="37" t="str">
        <f>SmtRes!K57</f>
        <v>Автомобили бортовые, грузоподъемность до 5 т</v>
      </c>
      <c r="D136" s="37" t="str">
        <f>SmtRes!O57</f>
        <v>маш.-ч</v>
      </c>
      <c r="E136" s="34">
        <f>ROUND(SmtRes!Y57,5)</f>
        <v>1.75</v>
      </c>
      <c r="F136" s="34">
        <f>ROUND(SmtRes!Y57*Source!I34,5)</f>
        <v>8.7499999999999994E-2</v>
      </c>
      <c r="G136" s="34">
        <v>822.45</v>
      </c>
      <c r="H136" s="35">
        <f>IF(SmtRes!AK57*Source!I34=0,"-",ROUND(SmtRes!AK57*Source!I34*Source!BB34,2))</f>
        <v>71.959999999999994</v>
      </c>
    </row>
    <row r="137" spans="1:8" hidden="1" x14ac:dyDescent="0.2">
      <c r="A137" s="71" t="s">
        <v>358</v>
      </c>
      <c r="B137" s="71"/>
      <c r="C137" s="71"/>
      <c r="D137" s="71"/>
      <c r="E137" s="71"/>
      <c r="F137" s="71"/>
      <c r="G137" s="71"/>
      <c r="H137" s="71"/>
    </row>
    <row r="138" spans="1:8" s="17" customFormat="1" ht="11.25" hidden="1" x14ac:dyDescent="0.2">
      <c r="A138" s="38" t="s">
        <v>409</v>
      </c>
      <c r="B138" s="39" t="str">
        <f>SmtRes!I58</f>
        <v>403-9020</v>
      </c>
      <c r="C138" s="39" t="str">
        <f>SmtRes!K58</f>
        <v>Конструкции сборные железобетонные</v>
      </c>
      <c r="D138" s="39" t="str">
        <f>SmtRes!O58</f>
        <v>шт.</v>
      </c>
      <c r="E138" s="40">
        <f>ROUND(SmtRes!Y58,5)</f>
        <v>100</v>
      </c>
      <c r="F138" s="40">
        <f>ROUND(SmtRes!Y58*Source!I34,5)</f>
        <v>5</v>
      </c>
      <c r="G138" s="40">
        <v>17500</v>
      </c>
      <c r="H138" s="41">
        <f>IF(SmtRes!AK58*Source!I34=0,"-",ROUND(SmtRes!AK58*Source!I34*Source!BC34,2))</f>
        <v>87500</v>
      </c>
    </row>
    <row r="139" spans="1:8" s="17" customFormat="1" ht="11.25" hidden="1" x14ac:dyDescent="0.2">
      <c r="A139" s="38" t="s">
        <v>410</v>
      </c>
      <c r="B139" s="39" t="str">
        <f>SmtRes!I59</f>
        <v>408-9040</v>
      </c>
      <c r="C139" s="39" t="str">
        <f>SmtRes!K59</f>
        <v>Песок для строительных работ природный</v>
      </c>
      <c r="D139" s="39" t="str">
        <f>SmtRes!O59</f>
        <v>м3</v>
      </c>
      <c r="E139" s="40">
        <f>ROUND(SmtRes!Y59,5)</f>
        <v>9.6</v>
      </c>
      <c r="F139" s="40">
        <f>ROUND(SmtRes!Y59*Source!I34,5)</f>
        <v>0.48</v>
      </c>
      <c r="G139" s="40">
        <v>0</v>
      </c>
      <c r="H139" s="41" t="str">
        <f>IF(SmtRes!AK59*Source!I34=0,"-",ROUND(SmtRes!AK59*Source!I34*Source!BC34,2))</f>
        <v>-</v>
      </c>
    </row>
    <row r="140" spans="1:8" ht="8.25" customHeight="1" x14ac:dyDescent="0.2">
      <c r="A140" s="42"/>
      <c r="B140" s="42"/>
      <c r="C140" s="42"/>
      <c r="D140" s="42"/>
      <c r="E140" s="42"/>
      <c r="F140" s="42"/>
      <c r="G140" s="42"/>
      <c r="H140" s="42"/>
    </row>
    <row r="141" spans="1:8" x14ac:dyDescent="0.2">
      <c r="A141" s="42"/>
      <c r="B141" s="42"/>
      <c r="C141" s="42" t="s">
        <v>152</v>
      </c>
      <c r="D141" s="42"/>
      <c r="E141" s="42"/>
      <c r="F141" s="42"/>
      <c r="G141" s="43" t="str">
        <f>CONCATENATE(Source!AT34,"%")</f>
        <v>117%</v>
      </c>
      <c r="H141" s="42">
        <f>IF(Source!X34=0,"",ROUND(Source!X34,2))</f>
        <v>1122</v>
      </c>
    </row>
    <row r="142" spans="1:8" x14ac:dyDescent="0.2">
      <c r="A142" s="42"/>
      <c r="B142" s="42"/>
      <c r="C142" s="42" t="s">
        <v>154</v>
      </c>
      <c r="D142" s="42"/>
      <c r="E142" s="42"/>
      <c r="F142" s="42"/>
      <c r="G142" s="43" t="str">
        <f>CONCATENATE(Source!AU34,"%")</f>
        <v>72%</v>
      </c>
      <c r="H142" s="42">
        <f>IF(Source!Y34=0,"",ROUND(Source!Y34,2))</f>
        <v>690</v>
      </c>
    </row>
    <row r="143" spans="1:8" x14ac:dyDescent="0.2">
      <c r="A143" s="44"/>
      <c r="B143" s="44"/>
      <c r="C143" s="44" t="s">
        <v>364</v>
      </c>
      <c r="D143" s="44"/>
      <c r="E143" s="44"/>
      <c r="F143" s="44"/>
      <c r="G143" s="44"/>
      <c r="H143" s="44">
        <f>IF(Source!Y34+Source!X34+Source!O34=0,"",ROUND(Source!Y34+Source!X34+Source!O34,2))</f>
        <v>90804</v>
      </c>
    </row>
    <row r="144" spans="1:8" s="14" customFormat="1" ht="15.75" customHeight="1" x14ac:dyDescent="0.2">
      <c r="A144" s="24" t="str">
        <f>Source!E35</f>
        <v>12</v>
      </c>
      <c r="B144" s="25" t="str">
        <f>CONCATENATE(Source!F35,"                       ", Source!EO35)</f>
        <v xml:space="preserve">Прайс-лист                       </v>
      </c>
      <c r="C144" s="25" t="str">
        <f>Source!G35</f>
        <v>Гранит  Shanxi Black 3260*1980*30 мм</v>
      </c>
      <c r="D144" s="25" t="str">
        <f>Source!H35</f>
        <v>ШТ</v>
      </c>
      <c r="E144" s="26"/>
      <c r="F144" s="26">
        <v>1</v>
      </c>
      <c r="G144" s="26">
        <f>IF(Source!AB35=0,"-",ROUND(Source!AB35,2))</f>
        <v>92700</v>
      </c>
      <c r="H144" s="26">
        <f>IF(Source!O35=0,"-",ROUND(Source!O35,2))</f>
        <v>92700</v>
      </c>
    </row>
    <row r="145" spans="1:8" s="14" customFormat="1" ht="25.5" x14ac:dyDescent="0.2">
      <c r="A145" s="24" t="str">
        <f>Source!E36</f>
        <v>13</v>
      </c>
      <c r="B145" s="25" t="str">
        <f>CONCATENATE(Source!F36,"                       ", Source!EO36)</f>
        <v xml:space="preserve">Прайс-лист                       </v>
      </c>
      <c r="C145" s="25" t="str">
        <f>Source!G36</f>
        <v>Гранит Империал ред Карнатака (Индия) 3000*2000*30 мм</v>
      </c>
      <c r="D145" s="25" t="str">
        <f>Source!H36</f>
        <v>ШТ</v>
      </c>
      <c r="E145" s="26"/>
      <c r="F145" s="26">
        <v>4</v>
      </c>
      <c r="G145" s="26">
        <f>IF(Source!AB36=0,"-",ROUND(Source!AB36,2))</f>
        <v>102400</v>
      </c>
      <c r="H145" s="26">
        <f>IF(Source!O36=0,"-",ROUND(Source!O36,2))</f>
        <v>409600</v>
      </c>
    </row>
    <row r="146" spans="1:8" s="14" customFormat="1" x14ac:dyDescent="0.2">
      <c r="A146" s="27" t="str">
        <f>Source!E37</f>
        <v>14</v>
      </c>
      <c r="B146" s="28" t="str">
        <f>CONCATENATE(Source!F37,"                       ", Source!EO37)</f>
        <v xml:space="preserve">т03-21-01-019                       </v>
      </c>
      <c r="C146" s="28" t="str">
        <f>Source!G37</f>
        <v>Доставка  гранитной плитки 60*60*2 см</v>
      </c>
      <c r="D146" s="28" t="str">
        <f>Source!H37</f>
        <v>1 Т ГРУЗА</v>
      </c>
      <c r="E146" s="29"/>
      <c r="F146" s="29">
        <v>6</v>
      </c>
      <c r="G146" s="29">
        <f>IF(Source!AB37=0,"-",ROUND(Source!AB37,2))</f>
        <v>2527</v>
      </c>
      <c r="H146" s="29">
        <f>IF(Source!O37=0,"-",ROUND(Source!O37,2))</f>
        <v>15162</v>
      </c>
    </row>
    <row r="147" spans="1:8" hidden="1" x14ac:dyDescent="0.2">
      <c r="A147" s="71" t="s">
        <v>351</v>
      </c>
      <c r="B147" s="71"/>
      <c r="C147" s="71"/>
      <c r="D147" s="71"/>
      <c r="E147" s="71"/>
      <c r="F147" s="71"/>
      <c r="G147" s="71"/>
      <c r="H147" s="71"/>
    </row>
    <row r="148" spans="1:8" s="16" customFormat="1" ht="11.25" hidden="1" x14ac:dyDescent="0.2">
      <c r="A148" s="36" t="s">
        <v>411</v>
      </c>
      <c r="B148" s="37" t="str">
        <f>SmtRes!I60</f>
        <v>400052</v>
      </c>
      <c r="C148" s="37" t="str">
        <f>SmtRes!K60</f>
        <v>Автомобиль-самосвал, грузоподъемность до 10 т</v>
      </c>
      <c r="D148" s="37" t="str">
        <f>SmtRes!O60</f>
        <v>маш.-ч</v>
      </c>
      <c r="E148" s="34">
        <f>ROUND(SmtRes!Y60,5)</f>
        <v>0.13300000000000001</v>
      </c>
      <c r="F148" s="34">
        <f>ROUND(SmtRes!Y60*Source!I37,5)</f>
        <v>0.79800000000000004</v>
      </c>
      <c r="G148" s="34">
        <v>19000</v>
      </c>
      <c r="H148" s="35">
        <f>IF(SmtRes!AK60*Source!I37=0,"-",ROUND(SmtRes!AK60*Source!I37*Source!BB37,2))</f>
        <v>15162</v>
      </c>
    </row>
    <row r="149" spans="1:8" ht="2.1" customHeight="1" x14ac:dyDescent="0.2">
      <c r="A149" s="42"/>
      <c r="B149" s="42"/>
      <c r="C149" s="42"/>
      <c r="D149" s="42"/>
      <c r="E149" s="42"/>
      <c r="F149" s="42"/>
      <c r="G149" s="42"/>
      <c r="H149" s="42"/>
    </row>
    <row r="150" spans="1:8" x14ac:dyDescent="0.2">
      <c r="A150" s="42"/>
      <c r="B150" s="42"/>
      <c r="C150" s="42" t="s">
        <v>152</v>
      </c>
      <c r="D150" s="42"/>
      <c r="E150" s="42"/>
      <c r="F150" s="42"/>
      <c r="G150" s="43" t="str">
        <f>CONCATENATE(Source!AT37,"%")</f>
        <v>0%</v>
      </c>
      <c r="H150" s="42" t="str">
        <f>IF(Source!X37=0,"",ROUND(Source!X37,2))</f>
        <v/>
      </c>
    </row>
    <row r="151" spans="1:8" x14ac:dyDescent="0.2">
      <c r="A151" s="42"/>
      <c r="B151" s="42"/>
      <c r="C151" s="42" t="s">
        <v>154</v>
      </c>
      <c r="D151" s="42"/>
      <c r="E151" s="42"/>
      <c r="F151" s="42"/>
      <c r="G151" s="43" t="str">
        <f>CONCATENATE(Source!AU37,"%")</f>
        <v>0%</v>
      </c>
      <c r="H151" s="42" t="str">
        <f>IF(Source!Y37=0,"",ROUND(Source!Y37,2))</f>
        <v/>
      </c>
    </row>
    <row r="152" spans="1:8" x14ac:dyDescent="0.2">
      <c r="A152" s="44"/>
      <c r="B152" s="44"/>
      <c r="C152" s="44" t="s">
        <v>364</v>
      </c>
      <c r="D152" s="44"/>
      <c r="E152" s="44"/>
      <c r="F152" s="44"/>
      <c r="G152" s="44"/>
      <c r="H152" s="44">
        <f>IF(Source!Y37+Source!X37+Source!O37=0,"",ROUND(Source!Y37+Source!X37+Source!O37,2))</f>
        <v>15162</v>
      </c>
    </row>
    <row r="153" spans="1:8" s="14" customFormat="1" ht="27.75" customHeight="1" x14ac:dyDescent="0.2">
      <c r="A153" s="27" t="str">
        <f>Source!E38</f>
        <v>15</v>
      </c>
      <c r="B153" s="28" t="str">
        <f>CONCATENATE(Source!F38,"                       ", Source!EO38)</f>
        <v xml:space="preserve">т03-21-01-019                       </v>
      </c>
      <c r="C153" s="28" t="str">
        <f>Source!G38</f>
        <v>Доставка гранита</v>
      </c>
      <c r="D153" s="28" t="str">
        <f>Source!H38</f>
        <v>1 Т ГРУЗА</v>
      </c>
      <c r="E153" s="29"/>
      <c r="F153" s="29">
        <v>13</v>
      </c>
      <c r="G153" s="29">
        <f>IF(Source!AB38=0,"-",ROUND(Source!AB38,2))</f>
        <v>2527</v>
      </c>
      <c r="H153" s="29">
        <f>IF(Source!O38=0,"-",ROUND(Source!O38,2))</f>
        <v>32851</v>
      </c>
    </row>
    <row r="154" spans="1:8" hidden="1" x14ac:dyDescent="0.2">
      <c r="A154" s="71" t="s">
        <v>351</v>
      </c>
      <c r="B154" s="71"/>
      <c r="C154" s="71"/>
      <c r="D154" s="71"/>
      <c r="E154" s="71"/>
      <c r="F154" s="71"/>
      <c r="G154" s="71"/>
      <c r="H154" s="71"/>
    </row>
    <row r="155" spans="1:8" s="16" customFormat="1" ht="11.25" hidden="1" x14ac:dyDescent="0.2">
      <c r="A155" s="36" t="s">
        <v>412</v>
      </c>
      <c r="B155" s="37" t="str">
        <f>SmtRes!I61</f>
        <v>400052</v>
      </c>
      <c r="C155" s="37" t="str">
        <f>SmtRes!K61</f>
        <v>Автомобиль-самосвал, грузоподъемность до 10 т</v>
      </c>
      <c r="D155" s="37" t="str">
        <f>SmtRes!O61</f>
        <v>маш.-ч</v>
      </c>
      <c r="E155" s="34">
        <f>ROUND(SmtRes!Y61,5)</f>
        <v>0.13300000000000001</v>
      </c>
      <c r="F155" s="34">
        <f>ROUND(SmtRes!Y61*Source!I38,5)</f>
        <v>1.7290000000000001</v>
      </c>
      <c r="G155" s="34">
        <v>19000</v>
      </c>
      <c r="H155" s="35">
        <f>IF(SmtRes!AK61*Source!I38=0,"-",ROUND(SmtRes!AK61*Source!I38*Source!BB38,2))</f>
        <v>32851</v>
      </c>
    </row>
    <row r="156" spans="1:8" ht="2.1" customHeight="1" x14ac:dyDescent="0.2">
      <c r="A156" s="42"/>
      <c r="B156" s="42"/>
      <c r="C156" s="42"/>
      <c r="D156" s="42"/>
      <c r="E156" s="42"/>
      <c r="F156" s="42"/>
      <c r="G156" s="42"/>
      <c r="H156" s="42"/>
    </row>
    <row r="157" spans="1:8" x14ac:dyDescent="0.2">
      <c r="A157" s="42"/>
      <c r="B157" s="42"/>
      <c r="C157" s="42" t="s">
        <v>152</v>
      </c>
      <c r="D157" s="42"/>
      <c r="E157" s="42"/>
      <c r="F157" s="42"/>
      <c r="G157" s="43" t="str">
        <f>CONCATENATE(Source!AT38,"%")</f>
        <v>0%</v>
      </c>
      <c r="H157" s="42" t="str">
        <f>IF(Source!X38=0,"",ROUND(Source!X38,2))</f>
        <v/>
      </c>
    </row>
    <row r="158" spans="1:8" x14ac:dyDescent="0.2">
      <c r="A158" s="42"/>
      <c r="B158" s="42"/>
      <c r="C158" s="42" t="s">
        <v>154</v>
      </c>
      <c r="D158" s="42"/>
      <c r="E158" s="42"/>
      <c r="F158" s="42"/>
      <c r="G158" s="43" t="str">
        <f>CONCATENATE(Source!AU38,"%")</f>
        <v>0%</v>
      </c>
      <c r="H158" s="42" t="str">
        <f>IF(Source!Y38=0,"",ROUND(Source!Y38,2))</f>
        <v/>
      </c>
    </row>
    <row r="159" spans="1:8" x14ac:dyDescent="0.2">
      <c r="A159" s="44"/>
      <c r="B159" s="44"/>
      <c r="C159" s="44" t="s">
        <v>364</v>
      </c>
      <c r="D159" s="44"/>
      <c r="E159" s="44"/>
      <c r="F159" s="44"/>
      <c r="G159" s="44"/>
      <c r="H159" s="44">
        <f>IF(Source!Y38+Source!X38+Source!O38=0,"",ROUND(Source!Y38+Source!X38+Source!O38,2))</f>
        <v>32851</v>
      </c>
    </row>
    <row r="160" spans="1:8" s="14" customFormat="1" x14ac:dyDescent="0.2">
      <c r="A160" s="27" t="str">
        <f>Source!E39</f>
        <v>16</v>
      </c>
      <c r="B160" s="28" t="str">
        <f>CONCATENATE(Source!F39,"                       ", Source!EO39)</f>
        <v xml:space="preserve">т03-21-01-019                       </v>
      </c>
      <c r="C160" s="28" t="str">
        <f>Source!G39</f>
        <v>Доставка барельефа</v>
      </c>
      <c r="D160" s="28" t="str">
        <f>Source!H39</f>
        <v>1 Т ГРУЗА</v>
      </c>
      <c r="E160" s="29"/>
      <c r="F160" s="29">
        <v>4</v>
      </c>
      <c r="G160" s="29">
        <f>IF(Source!AB39=0,"-",ROUND(Source!AB39,2))</f>
        <v>2527</v>
      </c>
      <c r="H160" s="29">
        <f>IF(Source!O39=0,"-",ROUND(Source!O39,2))</f>
        <v>10108</v>
      </c>
    </row>
    <row r="161" spans="1:8" hidden="1" x14ac:dyDescent="0.2">
      <c r="A161" s="71" t="s">
        <v>351</v>
      </c>
      <c r="B161" s="71"/>
      <c r="C161" s="71"/>
      <c r="D161" s="71"/>
      <c r="E161" s="71"/>
      <c r="F161" s="71"/>
      <c r="G161" s="71"/>
      <c r="H161" s="71"/>
    </row>
    <row r="162" spans="1:8" s="16" customFormat="1" ht="11.25" hidden="1" x14ac:dyDescent="0.2">
      <c r="A162" s="36" t="s">
        <v>413</v>
      </c>
      <c r="B162" s="37" t="str">
        <f>SmtRes!I62</f>
        <v>400052</v>
      </c>
      <c r="C162" s="37" t="str">
        <f>SmtRes!K62</f>
        <v>Автомобиль-самосвал, грузоподъемность до 10 т</v>
      </c>
      <c r="D162" s="37" t="str">
        <f>SmtRes!O62</f>
        <v>маш.-ч</v>
      </c>
      <c r="E162" s="34">
        <f>ROUND(SmtRes!Y62,5)</f>
        <v>0.13300000000000001</v>
      </c>
      <c r="F162" s="34">
        <f>ROUND(SmtRes!Y62*Source!I39,5)</f>
        <v>0.53200000000000003</v>
      </c>
      <c r="G162" s="34">
        <v>19000</v>
      </c>
      <c r="H162" s="35">
        <f>IF(SmtRes!AK62*Source!I39=0,"-",ROUND(SmtRes!AK62*Source!I39*Source!BB39,2))</f>
        <v>10108</v>
      </c>
    </row>
    <row r="163" spans="1:8" ht="2.1" customHeight="1" x14ac:dyDescent="0.2">
      <c r="A163" s="42"/>
      <c r="B163" s="42"/>
      <c r="C163" s="42"/>
      <c r="D163" s="42"/>
      <c r="E163" s="42"/>
      <c r="F163" s="42"/>
      <c r="G163" s="42"/>
      <c r="H163" s="42"/>
    </row>
    <row r="164" spans="1:8" x14ac:dyDescent="0.2">
      <c r="A164" s="42"/>
      <c r="B164" s="42"/>
      <c r="C164" s="42" t="s">
        <v>152</v>
      </c>
      <c r="D164" s="42"/>
      <c r="E164" s="42"/>
      <c r="F164" s="42"/>
      <c r="G164" s="43" t="str">
        <f>CONCATENATE(Source!AT39,"%")</f>
        <v>0%</v>
      </c>
      <c r="H164" s="42" t="str">
        <f>IF(Source!X39=0,"",ROUND(Source!X39,2))</f>
        <v/>
      </c>
    </row>
    <row r="165" spans="1:8" x14ac:dyDescent="0.2">
      <c r="A165" s="42"/>
      <c r="B165" s="42"/>
      <c r="C165" s="42" t="s">
        <v>154</v>
      </c>
      <c r="D165" s="42"/>
      <c r="E165" s="42"/>
      <c r="F165" s="42"/>
      <c r="G165" s="43" t="str">
        <f>CONCATENATE(Source!AU39,"%")</f>
        <v>0%</v>
      </c>
      <c r="H165" s="42" t="str">
        <f>IF(Source!Y39=0,"",ROUND(Source!Y39,2))</f>
        <v/>
      </c>
    </row>
    <row r="166" spans="1:8" x14ac:dyDescent="0.2">
      <c r="A166" s="44"/>
      <c r="B166" s="44"/>
      <c r="C166" s="44" t="s">
        <v>364</v>
      </c>
      <c r="D166" s="44"/>
      <c r="E166" s="44"/>
      <c r="F166" s="44"/>
      <c r="G166" s="44"/>
      <c r="H166" s="44">
        <f>IF(Source!Y39+Source!X39+Source!O39=0,"",ROUND(Source!Y39+Source!X39+Source!O39,2))</f>
        <v>10108</v>
      </c>
    </row>
    <row r="167" spans="1:8" s="14" customFormat="1" ht="25.5" x14ac:dyDescent="0.2">
      <c r="A167" s="24" t="str">
        <f>Source!E40</f>
        <v>17</v>
      </c>
      <c r="B167" s="25" t="str">
        <f>CONCATENATE(Source!F40,"                       ", Source!EO40)</f>
        <v xml:space="preserve">Калькуляция № 1                       </v>
      </c>
      <c r="C167" s="25" t="str">
        <f>Source!G40</f>
        <v>Барельеф Воин 1600*900*80 мм (мрамор Коелга фрезерной работы)</v>
      </c>
      <c r="D167" s="25" t="str">
        <f>Source!H40</f>
        <v>ШТ</v>
      </c>
      <c r="E167" s="26"/>
      <c r="F167" s="26">
        <v>1</v>
      </c>
      <c r="G167" s="26">
        <f>IF(Source!AB40=0,"-",ROUND(Source!AB40,2))</f>
        <v>170000</v>
      </c>
      <c r="H167" s="26">
        <f>IF(Source!O40=0,"-",ROUND(Source!O40,2))</f>
        <v>170000</v>
      </c>
    </row>
    <row r="168" spans="1:8" s="14" customFormat="1" ht="25.5" x14ac:dyDescent="0.2">
      <c r="A168" s="24" t="str">
        <f>Source!E41</f>
        <v>18</v>
      </c>
      <c r="B168" s="25" t="str">
        <f>CONCATENATE(Source!F41,"                       ", Source!EO41)</f>
        <v xml:space="preserve">Калькуляция № 2                       </v>
      </c>
      <c r="C168" s="25" t="str">
        <f>Source!G41</f>
        <v>Гравировка</v>
      </c>
      <c r="D168" s="25" t="str">
        <f>Source!H41</f>
        <v>ШТ</v>
      </c>
      <c r="E168" s="26"/>
      <c r="F168" s="26">
        <v>1200</v>
      </c>
      <c r="G168" s="26">
        <f>IF(Source!AB41=0,"-",ROUND(Source!AB41,2))</f>
        <v>150</v>
      </c>
      <c r="H168" s="26">
        <f>IF(Source!O41=0,"-",ROUND(Source!O41,2))</f>
        <v>180000</v>
      </c>
    </row>
    <row r="169" spans="1:8" x14ac:dyDescent="0.2">
      <c r="A169" s="45"/>
      <c r="H169" s="46"/>
    </row>
    <row r="170" spans="1:8" ht="14.25" x14ac:dyDescent="0.2">
      <c r="A170" s="51"/>
      <c r="B170" s="49" t="s">
        <v>414</v>
      </c>
      <c r="C170" s="50"/>
      <c r="D170" s="50"/>
      <c r="E170" s="50"/>
      <c r="F170" s="50"/>
      <c r="G170" s="50"/>
      <c r="H170" s="53"/>
    </row>
    <row r="171" spans="1:8" ht="14.25" x14ac:dyDescent="0.2">
      <c r="A171" s="52"/>
      <c r="B171" s="47"/>
      <c r="H171" s="22"/>
    </row>
    <row r="172" spans="1:8" x14ac:dyDescent="0.2">
      <c r="A172" s="20"/>
      <c r="B172" s="54" t="str">
        <f>Source!H45</f>
        <v>Прямые затраты</v>
      </c>
      <c r="C172" s="54"/>
      <c r="D172" s="54"/>
      <c r="E172" s="54"/>
      <c r="F172" s="54"/>
      <c r="G172" s="54"/>
      <c r="H172" s="22">
        <f>ROUND(Source!F45,2)</f>
        <v>1345144</v>
      </c>
    </row>
    <row r="173" spans="1:8" x14ac:dyDescent="0.2">
      <c r="A173" s="20"/>
      <c r="B173" s="55" t="str">
        <f>Source!H46</f>
        <v>Стоимость материальных ресурсов (всего)</v>
      </c>
      <c r="C173" s="55"/>
      <c r="D173" s="55"/>
      <c r="E173" s="55"/>
      <c r="F173" s="55"/>
      <c r="G173" s="55"/>
      <c r="H173" s="22">
        <f>ROUND(Source!F46,2)</f>
        <v>1221269</v>
      </c>
    </row>
    <row r="174" spans="1:8" x14ac:dyDescent="0.2">
      <c r="A174" s="20"/>
      <c r="B174" s="55" t="str">
        <f>Source!H48</f>
        <v>Стоимость материалов и оборудования подрядчика</v>
      </c>
      <c r="C174" s="55"/>
      <c r="D174" s="55"/>
      <c r="E174" s="55"/>
      <c r="F174" s="55"/>
      <c r="G174" s="55"/>
      <c r="H174" s="22">
        <f>ROUND(Source!F48,2)</f>
        <v>1221269</v>
      </c>
    </row>
    <row r="175" spans="1:8" x14ac:dyDescent="0.2">
      <c r="A175" s="20"/>
      <c r="B175" s="55" t="str">
        <f>Source!H49</f>
        <v>Стоимость материалов (всего)</v>
      </c>
      <c r="C175" s="55"/>
      <c r="D175" s="55"/>
      <c r="E175" s="55"/>
      <c r="F175" s="55"/>
      <c r="G175" s="55"/>
      <c r="H175" s="22">
        <f>ROUND(Source!F49,2)</f>
        <v>1221269</v>
      </c>
    </row>
    <row r="176" spans="1:8" x14ac:dyDescent="0.2">
      <c r="A176" s="20"/>
      <c r="B176" s="55" t="str">
        <f>Source!H51</f>
        <v>Стоимость материалов подрядчика</v>
      </c>
      <c r="C176" s="55"/>
      <c r="D176" s="55"/>
      <c r="E176" s="55"/>
      <c r="F176" s="55"/>
      <c r="G176" s="55"/>
      <c r="H176" s="22">
        <f>ROUND(Source!F51,2)</f>
        <v>1221269</v>
      </c>
    </row>
    <row r="177" spans="1:8" x14ac:dyDescent="0.2">
      <c r="A177" s="20"/>
      <c r="B177" s="55" t="str">
        <f>Source!H55</f>
        <v>Эксплуатация машин</v>
      </c>
      <c r="C177" s="55"/>
      <c r="D177" s="55"/>
      <c r="E177" s="55"/>
      <c r="F177" s="55"/>
      <c r="G177" s="55"/>
      <c r="H177" s="22">
        <f>ROUND(Source!F55,2)</f>
        <v>84421</v>
      </c>
    </row>
    <row r="178" spans="1:8" x14ac:dyDescent="0.2">
      <c r="A178" s="20"/>
      <c r="B178" s="55" t="str">
        <f>Source!H57</f>
        <v>ЗП машинистов</v>
      </c>
      <c r="C178" s="55"/>
      <c r="D178" s="55"/>
      <c r="E178" s="55"/>
      <c r="F178" s="55"/>
      <c r="G178" s="55"/>
      <c r="H178" s="22">
        <f>ROUND(Source!F57,2)</f>
        <v>6443</v>
      </c>
    </row>
    <row r="179" spans="1:8" x14ac:dyDescent="0.2">
      <c r="A179" s="20"/>
      <c r="B179" s="55" t="str">
        <f>Source!H58</f>
        <v>Основная ЗП рабочих</v>
      </c>
      <c r="C179" s="55"/>
      <c r="D179" s="55"/>
      <c r="E179" s="55"/>
      <c r="F179" s="55"/>
      <c r="G179" s="55"/>
      <c r="H179" s="22">
        <f>ROUND(Source!F58,2)</f>
        <v>39454</v>
      </c>
    </row>
    <row r="180" spans="1:8" x14ac:dyDescent="0.2">
      <c r="A180" s="20"/>
      <c r="B180" s="55" t="str">
        <f>Source!H60</f>
        <v>Строительные работы с НР и СП</v>
      </c>
      <c r="C180" s="55"/>
      <c r="D180" s="55"/>
      <c r="E180" s="55"/>
      <c r="F180" s="55"/>
      <c r="G180" s="55"/>
      <c r="H180" s="22">
        <f>ROUND(Source!F60,2)</f>
        <v>1416756</v>
      </c>
    </row>
    <row r="181" spans="1:8" x14ac:dyDescent="0.2">
      <c r="A181" s="20"/>
      <c r="B181" s="55" t="str">
        <f>Source!H65</f>
        <v>Трудозатраты строителей</v>
      </c>
      <c r="C181" s="55"/>
      <c r="D181" s="55"/>
      <c r="E181" s="55"/>
      <c r="F181" s="55"/>
      <c r="G181" s="55"/>
      <c r="H181" s="22">
        <f>ROUND(Source!F65,2)</f>
        <v>242</v>
      </c>
    </row>
    <row r="182" spans="1:8" x14ac:dyDescent="0.2">
      <c r="A182" s="20"/>
      <c r="B182" s="55" t="str">
        <f>Source!H66</f>
        <v>Трудозатраты машинистов</v>
      </c>
      <c r="C182" s="55"/>
      <c r="D182" s="55"/>
      <c r="E182" s="55"/>
      <c r="F182" s="55"/>
      <c r="G182" s="55"/>
      <c r="H182" s="22">
        <f>ROUND(Source!F66,2)</f>
        <v>23</v>
      </c>
    </row>
    <row r="183" spans="1:8" x14ac:dyDescent="0.2">
      <c r="A183" s="20"/>
      <c r="B183" s="55" t="str">
        <f>Source!H68</f>
        <v>Накладные расходы</v>
      </c>
      <c r="C183" s="55"/>
      <c r="D183" s="55"/>
      <c r="E183" s="55"/>
      <c r="F183" s="55"/>
      <c r="G183" s="55"/>
      <c r="H183" s="22">
        <f>ROUND(Source!F68,2)</f>
        <v>45210</v>
      </c>
    </row>
    <row r="184" spans="1:8" x14ac:dyDescent="0.2">
      <c r="A184" s="20"/>
      <c r="B184" s="55" t="str">
        <f>Source!H69</f>
        <v>Сметная прибыль</v>
      </c>
      <c r="C184" s="55"/>
      <c r="D184" s="55"/>
      <c r="E184" s="55"/>
      <c r="F184" s="55"/>
      <c r="G184" s="55"/>
      <c r="H184" s="22">
        <f>ROUND(Source!F69,2)</f>
        <v>26402</v>
      </c>
    </row>
    <row r="185" spans="1:8" x14ac:dyDescent="0.2">
      <c r="A185" s="20"/>
      <c r="B185" s="55" t="str">
        <f>Source!H70</f>
        <v>Всего с НР и СП</v>
      </c>
      <c r="C185" s="55"/>
      <c r="D185" s="55"/>
      <c r="E185" s="55"/>
      <c r="F185" s="55"/>
      <c r="G185" s="55"/>
      <c r="H185" s="22">
        <f>ROUND(Source!F70,2)</f>
        <v>1416756</v>
      </c>
    </row>
    <row r="186" spans="1:8" x14ac:dyDescent="0.2">
      <c r="A186" s="20"/>
      <c r="B186" s="55" t="str">
        <f>Source!H71</f>
        <v>НДС 20%</v>
      </c>
      <c r="C186" s="55"/>
      <c r="D186" s="55"/>
      <c r="E186" s="55"/>
      <c r="F186" s="55"/>
      <c r="G186" s="55"/>
      <c r="H186" s="22">
        <f>ROUND(Source!F71,2)</f>
        <v>283351</v>
      </c>
    </row>
    <row r="187" spans="1:8" x14ac:dyDescent="0.2">
      <c r="A187" s="20"/>
      <c r="B187" s="55" t="str">
        <f>Source!H72</f>
        <v>Итого с НДС</v>
      </c>
      <c r="C187" s="55"/>
      <c r="D187" s="55"/>
      <c r="E187" s="55"/>
      <c r="F187" s="55"/>
      <c r="G187" s="55"/>
      <c r="H187" s="22">
        <f>ROUND(Source!F72,2)</f>
        <v>1700107</v>
      </c>
    </row>
    <row r="188" spans="1:8" x14ac:dyDescent="0.2">
      <c r="A188" s="20"/>
      <c r="H188" s="22"/>
    </row>
    <row r="189" spans="1:8" x14ac:dyDescent="0.2">
      <c r="A189" s="20"/>
      <c r="H189" s="22"/>
    </row>
    <row r="190" spans="1:8" ht="14.25" x14ac:dyDescent="0.2">
      <c r="A190" s="52"/>
      <c r="B190" s="48"/>
      <c r="H190" s="22"/>
    </row>
    <row r="191" spans="1:8" ht="14.25" x14ac:dyDescent="0.2">
      <c r="A191" s="52"/>
      <c r="B191" s="47"/>
      <c r="H191" s="22"/>
    </row>
    <row r="192" spans="1:8" x14ac:dyDescent="0.2">
      <c r="A192" s="20"/>
      <c r="H192" s="22"/>
    </row>
    <row r="193" spans="1:8" x14ac:dyDescent="0.2">
      <c r="A193" s="20"/>
      <c r="B193" s="56" t="s">
        <v>415</v>
      </c>
      <c r="H193" s="22"/>
    </row>
    <row r="194" spans="1:8" x14ac:dyDescent="0.2">
      <c r="A194" s="20"/>
      <c r="B194" s="12" t="str">
        <f>IF(Source!AC12=0,"",Source!AC12)</f>
        <v/>
      </c>
      <c r="C194" s="9" t="str">
        <f>CONCATENATE(" _______________________ ",Source!AB12)</f>
        <v xml:space="preserve"> _______________________ </v>
      </c>
      <c r="H194" s="22"/>
    </row>
    <row r="195" spans="1:8" x14ac:dyDescent="0.2">
      <c r="A195" s="20"/>
      <c r="H195" s="22"/>
    </row>
    <row r="196" spans="1:8" x14ac:dyDescent="0.2">
      <c r="A196" s="20"/>
      <c r="B196" s="56" t="s">
        <v>416</v>
      </c>
      <c r="H196" s="22"/>
    </row>
    <row r="197" spans="1:8" x14ac:dyDescent="0.2">
      <c r="A197" s="20"/>
      <c r="B197" s="12" t="str">
        <f>IF(Source!AE12=0,"",Source!AE12)</f>
        <v/>
      </c>
      <c r="C197" s="9" t="str">
        <f>CONCATENATE(" _______________________ ",Source!AD12)</f>
        <v xml:space="preserve"> _______________________ </v>
      </c>
      <c r="H197" s="22"/>
    </row>
    <row r="198" spans="1:8" x14ac:dyDescent="0.2">
      <c r="A198" s="21"/>
      <c r="B198" s="18"/>
      <c r="C198" s="18"/>
      <c r="D198" s="18"/>
      <c r="E198" s="18"/>
      <c r="F198" s="18"/>
      <c r="G198" s="18"/>
      <c r="H198" s="23"/>
    </row>
  </sheetData>
  <mergeCells count="98">
    <mergeCell ref="A137:H137"/>
    <mergeCell ref="A147:H147"/>
    <mergeCell ref="A154:H154"/>
    <mergeCell ref="A161:H161"/>
    <mergeCell ref="A133:A134"/>
    <mergeCell ref="B133:B134"/>
    <mergeCell ref="C133:C134"/>
    <mergeCell ref="D133:D134"/>
    <mergeCell ref="F133:F134"/>
    <mergeCell ref="E133:E134"/>
    <mergeCell ref="A131:A132"/>
    <mergeCell ref="B131:B132"/>
    <mergeCell ref="C131:C132"/>
    <mergeCell ref="D131:D132"/>
    <mergeCell ref="F131:F132"/>
    <mergeCell ref="E131:E132"/>
    <mergeCell ref="A116:H116"/>
    <mergeCell ref="A128:H128"/>
    <mergeCell ref="A129:A130"/>
    <mergeCell ref="B129:B130"/>
    <mergeCell ref="C129:C130"/>
    <mergeCell ref="D129:D130"/>
    <mergeCell ref="F129:F130"/>
    <mergeCell ref="E129:E130"/>
    <mergeCell ref="A112:A113"/>
    <mergeCell ref="B112:B113"/>
    <mergeCell ref="C112:C113"/>
    <mergeCell ref="D112:D113"/>
    <mergeCell ref="F112:F113"/>
    <mergeCell ref="E112:E113"/>
    <mergeCell ref="A93:H93"/>
    <mergeCell ref="A109:H109"/>
    <mergeCell ref="A110:A111"/>
    <mergeCell ref="B110:B111"/>
    <mergeCell ref="C110:C111"/>
    <mergeCell ref="D110:D111"/>
    <mergeCell ref="F110:F111"/>
    <mergeCell ref="E110:E111"/>
    <mergeCell ref="A90:A91"/>
    <mergeCell ref="B90:B91"/>
    <mergeCell ref="C90:C91"/>
    <mergeCell ref="D90:D91"/>
    <mergeCell ref="F90:F91"/>
    <mergeCell ref="E90:E91"/>
    <mergeCell ref="A69:H69"/>
    <mergeCell ref="A78:H78"/>
    <mergeCell ref="A87:H87"/>
    <mergeCell ref="A88:A89"/>
    <mergeCell ref="B88:B89"/>
    <mergeCell ref="C88:C89"/>
    <mergeCell ref="D88:D89"/>
    <mergeCell ref="F88:F89"/>
    <mergeCell ref="E88:E89"/>
    <mergeCell ref="A52:H52"/>
    <mergeCell ref="A64:H64"/>
    <mergeCell ref="A65:A66"/>
    <mergeCell ref="B65:B66"/>
    <mergeCell ref="C65:C66"/>
    <mergeCell ref="D65:D66"/>
    <mergeCell ref="F65:F66"/>
    <mergeCell ref="E65:E66"/>
    <mergeCell ref="A34:H34"/>
    <mergeCell ref="A47:H47"/>
    <mergeCell ref="A48:A49"/>
    <mergeCell ref="B48:B49"/>
    <mergeCell ref="C48:C49"/>
    <mergeCell ref="D48:D49"/>
    <mergeCell ref="F48:F49"/>
    <mergeCell ref="E48:E49"/>
    <mergeCell ref="A30:A31"/>
    <mergeCell ref="B30:B31"/>
    <mergeCell ref="C30:C31"/>
    <mergeCell ref="D30:D31"/>
    <mergeCell ref="F30:F31"/>
    <mergeCell ref="E30:E31"/>
    <mergeCell ref="A27:A28"/>
    <mergeCell ref="B27:B28"/>
    <mergeCell ref="C27:C28"/>
    <mergeCell ref="D27:D28"/>
    <mergeCell ref="F27:F28"/>
    <mergeCell ref="E27:E28"/>
    <mergeCell ref="A24:H24"/>
    <mergeCell ref="A25:A26"/>
    <mergeCell ref="B25:B26"/>
    <mergeCell ref="C25:C26"/>
    <mergeCell ref="D25:D26"/>
    <mergeCell ref="F25:F26"/>
    <mergeCell ref="E25:E26"/>
    <mergeCell ref="F3:H3"/>
    <mergeCell ref="F4:H4"/>
    <mergeCell ref="A8:H8"/>
    <mergeCell ref="A9:H9"/>
    <mergeCell ref="A18:A19"/>
    <mergeCell ref="B18:B19"/>
    <mergeCell ref="C18:C19"/>
    <mergeCell ref="D18:D19"/>
    <mergeCell ref="E18:F18"/>
    <mergeCell ref="G18:H18"/>
  </mergeCells>
  <pageMargins left="0.69444444444444442" right="0.34722222222222221" top="0.46944444444444439" bottom="0.4" header="0.20833333333333334" footer="0.27777777777777779"/>
  <pageSetup paperSize="9" fitToHeight="0" orientation="landscape" r:id="rId1"/>
  <headerFooter>
    <oddHeader>&amp;L&amp;"Arial Cyr"&amp;7&amp;UПрограммные комплексы "Smeta.ru", "BabyСмета" (4822) 70-09-59&amp;R&amp;"Arial Cyr,обычный"&amp;7&amp;U16.06.2020 15:25:36   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79" t="str">
        <f>Source!B1</f>
        <v>Smeta.RU  (495) 974-1589</v>
      </c>
      <c r="B1" s="79"/>
      <c r="C1" s="79"/>
      <c r="D1" s="79"/>
      <c r="E1" s="57"/>
      <c r="F1" s="57"/>
      <c r="G1" s="57"/>
      <c r="H1" s="80" t="s">
        <v>417</v>
      </c>
      <c r="I1" s="80"/>
      <c r="J1" s="80"/>
      <c r="K1" s="80"/>
      <c r="L1" s="80"/>
    </row>
    <row r="2" spans="1:12" ht="14.25" x14ac:dyDescent="0.2">
      <c r="A2" s="57"/>
      <c r="B2" s="57"/>
      <c r="C2" s="57"/>
      <c r="D2" s="57"/>
      <c r="E2" s="57"/>
      <c r="F2" s="57"/>
      <c r="G2" s="57"/>
      <c r="H2" s="80" t="s">
        <v>418</v>
      </c>
      <c r="I2" s="80"/>
      <c r="J2" s="80"/>
      <c r="K2" s="80"/>
      <c r="L2" s="80"/>
    </row>
    <row r="3" spans="1:12" ht="14.25" x14ac:dyDescent="0.2">
      <c r="A3" s="57"/>
      <c r="B3" s="57"/>
      <c r="C3" s="57"/>
      <c r="D3" s="57"/>
      <c r="E3" s="57"/>
      <c r="F3" s="57"/>
      <c r="G3" s="57"/>
      <c r="H3" s="80" t="s">
        <v>419</v>
      </c>
      <c r="I3" s="80"/>
      <c r="J3" s="80"/>
      <c r="K3" s="80"/>
      <c r="L3" s="80"/>
    </row>
    <row r="4" spans="1:12" ht="14.25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77" t="s">
        <v>420</v>
      </c>
      <c r="L4" s="78"/>
    </row>
    <row r="5" spans="1:12" ht="14.25" x14ac:dyDescent="0.2">
      <c r="A5" s="57"/>
      <c r="B5" s="57"/>
      <c r="C5" s="57"/>
      <c r="D5" s="57"/>
      <c r="E5" s="57"/>
      <c r="F5" s="57"/>
      <c r="G5" s="57"/>
      <c r="H5" s="57"/>
      <c r="I5" s="76" t="s">
        <v>421</v>
      </c>
      <c r="J5" s="76"/>
      <c r="K5" s="77">
        <v>322001</v>
      </c>
      <c r="L5" s="78"/>
    </row>
    <row r="6" spans="1:12" ht="14.25" x14ac:dyDescent="0.2">
      <c r="A6" s="76" t="s">
        <v>422</v>
      </c>
      <c r="B6" s="76"/>
      <c r="C6" s="81"/>
      <c r="D6" s="81"/>
      <c r="E6" s="81"/>
      <c r="F6" s="81"/>
      <c r="G6" s="81"/>
      <c r="H6" s="81"/>
      <c r="I6" s="81"/>
      <c r="J6" s="58" t="s">
        <v>423</v>
      </c>
      <c r="K6" s="77"/>
      <c r="L6" s="78"/>
    </row>
    <row r="7" spans="1:12" ht="14.25" x14ac:dyDescent="0.2">
      <c r="A7" s="57"/>
      <c r="B7" s="57"/>
      <c r="C7" s="84" t="s">
        <v>424</v>
      </c>
      <c r="D7" s="84"/>
      <c r="E7" s="84"/>
      <c r="F7" s="84"/>
      <c r="G7" s="84"/>
      <c r="H7" s="84"/>
      <c r="I7" s="84"/>
      <c r="J7" s="57"/>
      <c r="K7" s="59"/>
      <c r="L7" s="60"/>
    </row>
    <row r="8" spans="1:12" ht="14.25" x14ac:dyDescent="0.2">
      <c r="A8" s="76" t="s">
        <v>425</v>
      </c>
      <c r="B8" s="76"/>
      <c r="C8" s="81"/>
      <c r="D8" s="81"/>
      <c r="E8" s="81"/>
      <c r="F8" s="81"/>
      <c r="G8" s="81"/>
      <c r="H8" s="81"/>
      <c r="I8" s="61"/>
      <c r="J8" s="58" t="s">
        <v>423</v>
      </c>
      <c r="K8" s="82"/>
      <c r="L8" s="83"/>
    </row>
    <row r="9" spans="1:12" ht="14.25" x14ac:dyDescent="0.2">
      <c r="A9" s="57"/>
      <c r="B9" s="57"/>
      <c r="C9" s="84" t="s">
        <v>424</v>
      </c>
      <c r="D9" s="84"/>
      <c r="E9" s="84"/>
      <c r="F9" s="84"/>
      <c r="G9" s="84"/>
      <c r="H9" s="84"/>
      <c r="I9" s="84"/>
      <c r="J9" s="57"/>
      <c r="K9" s="59"/>
      <c r="L9" s="60"/>
    </row>
    <row r="10" spans="1:12" ht="14.25" x14ac:dyDescent="0.2">
      <c r="A10" s="76" t="s">
        <v>426</v>
      </c>
      <c r="B10" s="76"/>
      <c r="C10" s="81"/>
      <c r="D10" s="81"/>
      <c r="E10" s="81"/>
      <c r="F10" s="81"/>
      <c r="G10" s="81"/>
      <c r="H10" s="81"/>
      <c r="I10" s="81"/>
      <c r="J10" s="58" t="s">
        <v>423</v>
      </c>
      <c r="K10" s="82"/>
      <c r="L10" s="83"/>
    </row>
    <row r="11" spans="1:12" ht="14.25" x14ac:dyDescent="0.2">
      <c r="A11" s="57"/>
      <c r="B11" s="57"/>
      <c r="C11" s="84" t="s">
        <v>424</v>
      </c>
      <c r="D11" s="84"/>
      <c r="E11" s="84"/>
      <c r="F11" s="84"/>
      <c r="G11" s="84"/>
      <c r="H11" s="84"/>
      <c r="I11" s="84"/>
      <c r="J11" s="57"/>
      <c r="K11" s="59"/>
      <c r="L11" s="60"/>
    </row>
    <row r="12" spans="1:12" ht="14.25" x14ac:dyDescent="0.2">
      <c r="A12" s="76" t="s">
        <v>427</v>
      </c>
      <c r="B12" s="76"/>
      <c r="C12" s="81"/>
      <c r="D12" s="81"/>
      <c r="E12" s="81"/>
      <c r="F12" s="81"/>
      <c r="G12" s="81"/>
      <c r="H12" s="81"/>
      <c r="I12" s="81"/>
      <c r="J12" s="58" t="s">
        <v>423</v>
      </c>
      <c r="K12" s="82"/>
      <c r="L12" s="83"/>
    </row>
    <row r="13" spans="1:12" ht="14.25" x14ac:dyDescent="0.2">
      <c r="A13" s="57"/>
      <c r="B13" s="57"/>
      <c r="C13" s="84" t="s">
        <v>428</v>
      </c>
      <c r="D13" s="84"/>
      <c r="E13" s="84"/>
      <c r="F13" s="84"/>
      <c r="G13" s="84"/>
      <c r="H13" s="76" t="s">
        <v>429</v>
      </c>
      <c r="I13" s="76"/>
      <c r="J13" s="85"/>
      <c r="K13" s="77"/>
      <c r="L13" s="78"/>
    </row>
    <row r="14" spans="1:12" ht="14.25" x14ac:dyDescent="0.2">
      <c r="A14" s="57"/>
      <c r="B14" s="57"/>
      <c r="C14" s="57"/>
      <c r="D14" s="57"/>
      <c r="E14" s="76" t="s">
        <v>430</v>
      </c>
      <c r="F14" s="76"/>
      <c r="G14" s="76"/>
      <c r="H14" s="76"/>
      <c r="I14" s="86" t="s">
        <v>431</v>
      </c>
      <c r="J14" s="87"/>
      <c r="K14" s="77"/>
      <c r="L14" s="78"/>
    </row>
    <row r="15" spans="1:12" ht="14.25" x14ac:dyDescent="0.2">
      <c r="A15" s="57"/>
      <c r="B15" s="57"/>
      <c r="C15" s="57"/>
      <c r="D15" s="57"/>
      <c r="E15" s="57"/>
      <c r="F15" s="57"/>
      <c r="G15" s="57"/>
      <c r="H15" s="57"/>
      <c r="I15" s="89" t="s">
        <v>432</v>
      </c>
      <c r="J15" s="90"/>
      <c r="K15" s="91"/>
      <c r="L15" s="92"/>
    </row>
    <row r="16" spans="1:12" ht="14.25" x14ac:dyDescent="0.2">
      <c r="A16" s="57"/>
      <c r="B16" s="57"/>
      <c r="C16" s="57"/>
      <c r="D16" s="57"/>
      <c r="E16" s="57"/>
      <c r="F16" s="57"/>
      <c r="G16" s="57"/>
      <c r="H16" s="57"/>
      <c r="I16" s="87" t="s">
        <v>433</v>
      </c>
      <c r="J16" s="87"/>
      <c r="K16" s="93"/>
      <c r="L16" s="94"/>
    </row>
    <row r="17" spans="1:12" ht="14.25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4.25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4.25" x14ac:dyDescent="0.2">
      <c r="A19" s="57"/>
      <c r="B19" s="57"/>
      <c r="C19" s="95" t="s">
        <v>434</v>
      </c>
      <c r="D19" s="96"/>
      <c r="E19" s="95" t="s">
        <v>435</v>
      </c>
      <c r="F19" s="99"/>
      <c r="G19" s="57"/>
      <c r="H19" s="57"/>
      <c r="I19" s="95" t="s">
        <v>436</v>
      </c>
      <c r="J19" s="96"/>
      <c r="K19" s="96"/>
      <c r="L19" s="99"/>
    </row>
    <row r="20" spans="1:12" ht="14.25" x14ac:dyDescent="0.2">
      <c r="A20" s="57"/>
      <c r="B20" s="57"/>
      <c r="C20" s="97"/>
      <c r="D20" s="98"/>
      <c r="E20" s="97"/>
      <c r="F20" s="100"/>
      <c r="G20" s="57"/>
      <c r="H20" s="57"/>
      <c r="I20" s="101" t="s">
        <v>437</v>
      </c>
      <c r="J20" s="102"/>
      <c r="K20" s="101" t="s">
        <v>438</v>
      </c>
      <c r="L20" s="103"/>
    </row>
    <row r="21" spans="1:12" ht="14.25" x14ac:dyDescent="0.2">
      <c r="A21" s="57"/>
      <c r="B21" s="57"/>
      <c r="C21" s="104"/>
      <c r="D21" s="105"/>
      <c r="E21" s="106"/>
      <c r="F21" s="107"/>
      <c r="G21" s="62"/>
      <c r="H21" s="62"/>
      <c r="I21" s="106"/>
      <c r="J21" s="108"/>
      <c r="K21" s="106"/>
      <c r="L21" s="107"/>
    </row>
    <row r="22" spans="1:12" ht="14.25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4.25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8" x14ac:dyDescent="0.25">
      <c r="A24" s="88" t="s">
        <v>439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8" x14ac:dyDescent="0.25">
      <c r="A25" s="88" t="s">
        <v>440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4.25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4.25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4.25" x14ac:dyDescent="0.2">
      <c r="A28" s="109" t="s">
        <v>340</v>
      </c>
      <c r="B28" s="109" t="s">
        <v>441</v>
      </c>
      <c r="C28" s="111"/>
      <c r="D28" s="111"/>
      <c r="E28" s="111"/>
      <c r="F28" s="109" t="s">
        <v>442</v>
      </c>
      <c r="G28" s="109" t="s">
        <v>443</v>
      </c>
      <c r="H28" s="111"/>
      <c r="I28" s="111"/>
      <c r="J28" s="111"/>
      <c r="K28" s="111"/>
      <c r="L28" s="113"/>
    </row>
    <row r="29" spans="1:12" x14ac:dyDescent="0.2">
      <c r="A29" s="110"/>
      <c r="B29" s="110"/>
      <c r="C29" s="112"/>
      <c r="D29" s="112"/>
      <c r="E29" s="112"/>
      <c r="F29" s="110"/>
      <c r="G29" s="109" t="s">
        <v>444</v>
      </c>
      <c r="H29" s="111"/>
      <c r="I29" s="109" t="s">
        <v>445</v>
      </c>
      <c r="J29" s="111"/>
      <c r="K29" s="109" t="s">
        <v>446</v>
      </c>
      <c r="L29" s="113"/>
    </row>
    <row r="30" spans="1:12" x14ac:dyDescent="0.2">
      <c r="A30" s="110"/>
      <c r="B30" s="110"/>
      <c r="C30" s="112"/>
      <c r="D30" s="112"/>
      <c r="E30" s="112"/>
      <c r="F30" s="110"/>
      <c r="G30" s="110"/>
      <c r="H30" s="112"/>
      <c r="I30" s="110"/>
      <c r="J30" s="112"/>
      <c r="K30" s="110"/>
      <c r="L30" s="114"/>
    </row>
    <row r="31" spans="1:12" x14ac:dyDescent="0.2">
      <c r="A31" s="110"/>
      <c r="B31" s="110"/>
      <c r="C31" s="112"/>
      <c r="D31" s="112"/>
      <c r="E31" s="112"/>
      <c r="F31" s="110"/>
      <c r="G31" s="110"/>
      <c r="H31" s="112"/>
      <c r="I31" s="110"/>
      <c r="J31" s="112"/>
      <c r="K31" s="110"/>
      <c r="L31" s="114"/>
    </row>
    <row r="32" spans="1:12" x14ac:dyDescent="0.2">
      <c r="A32" s="110"/>
      <c r="B32" s="110"/>
      <c r="C32" s="112"/>
      <c r="D32" s="112"/>
      <c r="E32" s="112"/>
      <c r="F32" s="110"/>
      <c r="G32" s="110"/>
      <c r="H32" s="112"/>
      <c r="I32" s="110"/>
      <c r="J32" s="112"/>
      <c r="K32" s="110"/>
      <c r="L32" s="114"/>
    </row>
    <row r="33" spans="1:12" ht="14.25" x14ac:dyDescent="0.2">
      <c r="A33" s="59">
        <v>1</v>
      </c>
      <c r="B33" s="77">
        <v>2</v>
      </c>
      <c r="C33" s="118"/>
      <c r="D33" s="118"/>
      <c r="E33" s="118"/>
      <c r="F33" s="59">
        <v>3</v>
      </c>
      <c r="G33" s="77">
        <v>4</v>
      </c>
      <c r="H33" s="118"/>
      <c r="I33" s="77">
        <v>5</v>
      </c>
      <c r="J33" s="118"/>
      <c r="K33" s="77">
        <v>6</v>
      </c>
      <c r="L33" s="78"/>
    </row>
    <row r="34" spans="1:12" ht="14.25" x14ac:dyDescent="0.2">
      <c r="A34" s="63"/>
      <c r="B34" s="119" t="s">
        <v>447</v>
      </c>
      <c r="C34" s="120"/>
      <c r="D34" s="120"/>
      <c r="E34" s="120"/>
      <c r="F34" s="64"/>
      <c r="G34" s="121"/>
      <c r="H34" s="122"/>
      <c r="I34" s="121"/>
      <c r="J34" s="122"/>
      <c r="K34" s="121"/>
      <c r="L34" s="123"/>
    </row>
    <row r="35" spans="1:12" ht="14.25" x14ac:dyDescent="0.2">
      <c r="A35" s="65"/>
      <c r="B35" s="124" t="s">
        <v>448</v>
      </c>
      <c r="C35" s="125"/>
      <c r="D35" s="125"/>
      <c r="E35" s="125"/>
      <c r="F35" s="125"/>
      <c r="G35" s="125"/>
      <c r="H35" s="125"/>
      <c r="I35" s="125"/>
      <c r="J35" s="125"/>
      <c r="K35" s="120"/>
      <c r="L35" s="126"/>
    </row>
    <row r="36" spans="1:12" ht="14.25" x14ac:dyDescent="0.2">
      <c r="A36" s="87" t="s">
        <v>449</v>
      </c>
      <c r="B36" s="87"/>
      <c r="C36" s="87"/>
      <c r="D36" s="87"/>
      <c r="E36" s="87"/>
      <c r="F36" s="87"/>
      <c r="G36" s="87"/>
      <c r="H36" s="87"/>
      <c r="I36" s="87"/>
      <c r="J36" s="127"/>
      <c r="K36" s="128"/>
      <c r="L36" s="127"/>
    </row>
    <row r="37" spans="1:12" ht="14.25" x14ac:dyDescent="0.2">
      <c r="A37" s="115" t="s">
        <v>450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29"/>
      <c r="L37" s="130"/>
    </row>
    <row r="38" spans="1:12" ht="14.25" x14ac:dyDescent="0.2">
      <c r="A38" s="115" t="s">
        <v>451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6"/>
      <c r="L38" s="117"/>
    </row>
    <row r="39" spans="1:12" ht="14.25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2" spans="1:12" ht="14.25" x14ac:dyDescent="0.2">
      <c r="A42" s="131" t="s">
        <v>425</v>
      </c>
      <c r="B42" s="131"/>
      <c r="C42" s="132"/>
      <c r="D42" s="132"/>
      <c r="E42" s="132"/>
      <c r="F42" s="57"/>
      <c r="G42" s="132"/>
      <c r="H42" s="132"/>
      <c r="I42" s="57"/>
      <c r="J42" s="132"/>
      <c r="K42" s="132"/>
      <c r="L42" s="132"/>
    </row>
    <row r="43" spans="1:12" ht="14.25" x14ac:dyDescent="0.2">
      <c r="A43" s="57"/>
      <c r="B43" s="57"/>
      <c r="C43" s="133" t="s">
        <v>452</v>
      </c>
      <c r="D43" s="133"/>
      <c r="E43" s="133"/>
      <c r="F43" s="57"/>
      <c r="G43" s="133" t="s">
        <v>453</v>
      </c>
      <c r="H43" s="133"/>
      <c r="I43" s="57"/>
      <c r="J43" s="133" t="s">
        <v>454</v>
      </c>
      <c r="K43" s="133"/>
      <c r="L43" s="133"/>
    </row>
    <row r="44" spans="1:12" ht="14.25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14.25" x14ac:dyDescent="0.2">
      <c r="A45" s="58" t="s">
        <v>455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14.25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14.25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14.25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ht="14.25" x14ac:dyDescent="0.2">
      <c r="A49" s="131" t="s">
        <v>426</v>
      </c>
      <c r="B49" s="131"/>
      <c r="C49" s="132"/>
      <c r="D49" s="132"/>
      <c r="E49" s="132"/>
      <c r="F49" s="57"/>
      <c r="G49" s="132"/>
      <c r="H49" s="132"/>
      <c r="I49" s="57"/>
      <c r="J49" s="132"/>
      <c r="K49" s="132"/>
      <c r="L49" s="132"/>
    </row>
    <row r="50" spans="1:12" ht="14.25" x14ac:dyDescent="0.2">
      <c r="A50" s="57"/>
      <c r="B50" s="57"/>
      <c r="C50" s="133" t="s">
        <v>452</v>
      </c>
      <c r="D50" s="133"/>
      <c r="E50" s="133"/>
      <c r="F50" s="57"/>
      <c r="G50" s="133" t="s">
        <v>453</v>
      </c>
      <c r="H50" s="133"/>
      <c r="I50" s="57"/>
      <c r="J50" s="133" t="s">
        <v>454</v>
      </c>
      <c r="K50" s="133"/>
      <c r="L50" s="133"/>
    </row>
    <row r="51" spans="1:12" ht="14.25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14.25" x14ac:dyDescent="0.2">
      <c r="A52" s="58" t="s">
        <v>455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</sheetData>
  <mergeCells count="79">
    <mergeCell ref="A49:B49"/>
    <mergeCell ref="C49:E49"/>
    <mergeCell ref="G49:H49"/>
    <mergeCell ref="J49:L49"/>
    <mergeCell ref="C50:E50"/>
    <mergeCell ref="G50:H50"/>
    <mergeCell ref="J50:L50"/>
    <mergeCell ref="A42:B42"/>
    <mergeCell ref="C42:E42"/>
    <mergeCell ref="G42:H42"/>
    <mergeCell ref="J42:L42"/>
    <mergeCell ref="C43:E43"/>
    <mergeCell ref="G43:H43"/>
    <mergeCell ref="J43:L43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28:A32"/>
    <mergeCell ref="B28:E32"/>
    <mergeCell ref="F28:F32"/>
    <mergeCell ref="G28:L28"/>
    <mergeCell ref="G29:H32"/>
    <mergeCell ref="I29:J32"/>
    <mergeCell ref="K29:L32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C13:G13"/>
    <mergeCell ref="H13:J13"/>
    <mergeCell ref="K13:L13"/>
    <mergeCell ref="E14:H14"/>
    <mergeCell ref="I14:J14"/>
    <mergeCell ref="K14:L1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I5:J5"/>
    <mergeCell ref="K5:L5"/>
    <mergeCell ref="A1:D1"/>
    <mergeCell ref="H1:L1"/>
    <mergeCell ref="H2:L2"/>
    <mergeCell ref="H3:L3"/>
    <mergeCell ref="K4:L4"/>
  </mergeCells>
  <pageMargins left="0.4" right="0.2" top="0.2" bottom="0.4" header="0.2" footer="0.2"/>
  <pageSetup paperSize="9" scale="80" fitToHeight="0" orientation="portrait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39"/>
  <sheetViews>
    <sheetView workbookViewId="0">
      <selection activeCell="A62" sqref="A62:XFD62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52906</v>
      </c>
      <c r="M1">
        <v>19366984</v>
      </c>
    </row>
    <row r="12" spans="1:133" x14ac:dyDescent="0.2">
      <c r="A12" s="1">
        <v>1</v>
      </c>
      <c r="B12" s="1">
        <v>134</v>
      </c>
      <c r="C12" s="1">
        <v>0</v>
      </c>
      <c r="D12" s="1">
        <f>ROW(A74)</f>
        <v>74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3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11</v>
      </c>
      <c r="CC12" s="1" t="s">
        <v>10</v>
      </c>
      <c r="CD12" s="1" t="s">
        <v>10</v>
      </c>
      <c r="CE12" s="1" t="s">
        <v>12</v>
      </c>
      <c r="CF12" s="1">
        <v>0</v>
      </c>
      <c r="CG12" s="1">
        <v>0</v>
      </c>
      <c r="CH12" s="1">
        <v>12296</v>
      </c>
      <c r="CI12" s="1" t="s">
        <v>3</v>
      </c>
      <c r="CJ12" s="1" t="s">
        <v>3</v>
      </c>
      <c r="CK12" s="1">
        <v>8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B74</f>
        <v>134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объект_(Копия)</v>
      </c>
      <c r="G18" s="2" t="str">
        <f t="shared" si="0"/>
        <v>Обелиск 9.06.2020 новый красный_(Копия)</v>
      </c>
      <c r="H18" s="2"/>
      <c r="I18" s="2"/>
      <c r="J18" s="2"/>
      <c r="K18" s="2"/>
      <c r="L18" s="2"/>
      <c r="M18" s="2"/>
      <c r="N18" s="2"/>
      <c r="O18" s="2">
        <f t="shared" ref="O18:AT18" si="1">O74</f>
        <v>1345144</v>
      </c>
      <c r="P18" s="2">
        <f t="shared" si="1"/>
        <v>1221269</v>
      </c>
      <c r="Q18" s="2">
        <f t="shared" si="1"/>
        <v>84421</v>
      </c>
      <c r="R18" s="2">
        <f t="shared" si="1"/>
        <v>6443</v>
      </c>
      <c r="S18" s="2">
        <f t="shared" si="1"/>
        <v>39454</v>
      </c>
      <c r="T18" s="2">
        <f t="shared" si="1"/>
        <v>0</v>
      </c>
      <c r="U18" s="2">
        <f t="shared" si="1"/>
        <v>242.42370000000003</v>
      </c>
      <c r="V18" s="2">
        <f t="shared" si="1"/>
        <v>22.899400000000004</v>
      </c>
      <c r="W18" s="2">
        <f t="shared" si="1"/>
        <v>500</v>
      </c>
      <c r="X18" s="2">
        <f t="shared" si="1"/>
        <v>45210</v>
      </c>
      <c r="Y18" s="2">
        <f t="shared" si="1"/>
        <v>26402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1416756</v>
      </c>
      <c r="AS18" s="2">
        <f t="shared" si="1"/>
        <v>1416756</v>
      </c>
      <c r="AT18" s="2">
        <f t="shared" si="1"/>
        <v>0</v>
      </c>
      <c r="AU18" s="2">
        <f t="shared" ref="AU18:BZ18" si="2">AU74</f>
        <v>0</v>
      </c>
      <c r="AV18" s="2">
        <f t="shared" si="2"/>
        <v>1221269</v>
      </c>
      <c r="AW18" s="2">
        <f t="shared" si="2"/>
        <v>1221269</v>
      </c>
      <c r="AX18" s="2">
        <f t="shared" si="2"/>
        <v>0</v>
      </c>
      <c r="AY18" s="2">
        <f t="shared" si="2"/>
        <v>1221269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CA74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DG74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EM74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FS74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ROW(A43)</f>
        <v>43</v>
      </c>
      <c r="E20" s="1"/>
      <c r="F20" s="1" t="s">
        <v>13</v>
      </c>
      <c r="G20" s="1" t="s">
        <v>13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B43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O43</f>
        <v>1345144</v>
      </c>
      <c r="P22" s="2">
        <f t="shared" si="8"/>
        <v>1221269</v>
      </c>
      <c r="Q22" s="2">
        <f t="shared" si="8"/>
        <v>84421</v>
      </c>
      <c r="R22" s="2">
        <f t="shared" si="8"/>
        <v>6443</v>
      </c>
      <c r="S22" s="2">
        <f t="shared" si="8"/>
        <v>39454</v>
      </c>
      <c r="T22" s="2">
        <f t="shared" si="8"/>
        <v>0</v>
      </c>
      <c r="U22" s="2">
        <f t="shared" si="8"/>
        <v>242.42370000000003</v>
      </c>
      <c r="V22" s="2">
        <f t="shared" si="8"/>
        <v>22.899400000000004</v>
      </c>
      <c r="W22" s="2">
        <f t="shared" si="8"/>
        <v>500</v>
      </c>
      <c r="X22" s="2">
        <f t="shared" si="8"/>
        <v>45210</v>
      </c>
      <c r="Y22" s="2">
        <f t="shared" si="8"/>
        <v>26402</v>
      </c>
      <c r="Z22" s="2">
        <f t="shared" si="8"/>
        <v>0</v>
      </c>
      <c r="AA22" s="2">
        <f t="shared" si="8"/>
        <v>0</v>
      </c>
      <c r="AB22" s="2">
        <f t="shared" si="8"/>
        <v>1345144</v>
      </c>
      <c r="AC22" s="2">
        <f t="shared" si="8"/>
        <v>1221269</v>
      </c>
      <c r="AD22" s="2">
        <f t="shared" si="8"/>
        <v>84421</v>
      </c>
      <c r="AE22" s="2">
        <f t="shared" si="8"/>
        <v>6443</v>
      </c>
      <c r="AF22" s="2">
        <f t="shared" si="8"/>
        <v>39454</v>
      </c>
      <c r="AG22" s="2">
        <f t="shared" si="8"/>
        <v>0</v>
      </c>
      <c r="AH22" s="2">
        <f t="shared" si="8"/>
        <v>242.42370000000003</v>
      </c>
      <c r="AI22" s="2">
        <f t="shared" si="8"/>
        <v>22.899400000000004</v>
      </c>
      <c r="AJ22" s="2">
        <f t="shared" si="8"/>
        <v>500</v>
      </c>
      <c r="AK22" s="2">
        <f t="shared" si="8"/>
        <v>45210</v>
      </c>
      <c r="AL22" s="2">
        <f t="shared" si="8"/>
        <v>26402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1416756</v>
      </c>
      <c r="AS22" s="2">
        <f t="shared" si="8"/>
        <v>1416756</v>
      </c>
      <c r="AT22" s="2">
        <f t="shared" si="8"/>
        <v>0</v>
      </c>
      <c r="AU22" s="2">
        <f t="shared" ref="AU22:BZ22" si="9">AU43</f>
        <v>0</v>
      </c>
      <c r="AV22" s="2">
        <f t="shared" si="9"/>
        <v>1221269</v>
      </c>
      <c r="AW22" s="2">
        <f t="shared" si="9"/>
        <v>1221269</v>
      </c>
      <c r="AX22" s="2">
        <f t="shared" si="9"/>
        <v>0</v>
      </c>
      <c r="AY22" s="2">
        <f t="shared" si="9"/>
        <v>1221269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CA43</f>
        <v>1416756</v>
      </c>
      <c r="CB22" s="2">
        <f t="shared" si="10"/>
        <v>1416756</v>
      </c>
      <c r="CC22" s="2">
        <f t="shared" si="10"/>
        <v>0</v>
      </c>
      <c r="CD22" s="2">
        <f t="shared" si="10"/>
        <v>0</v>
      </c>
      <c r="CE22" s="2">
        <f t="shared" si="10"/>
        <v>1221269</v>
      </c>
      <c r="CF22" s="2">
        <f t="shared" si="10"/>
        <v>1221269</v>
      </c>
      <c r="CG22" s="2">
        <f t="shared" si="10"/>
        <v>0</v>
      </c>
      <c r="CH22" s="2">
        <f t="shared" si="10"/>
        <v>1221269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DG43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EM43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FS43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>
        <v>17</v>
      </c>
      <c r="B24">
        <v>1</v>
      </c>
      <c r="C24">
        <f>ROW(SmtRes!A13)</f>
        <v>13</v>
      </c>
      <c r="D24">
        <f>ROW(EtalonRes!A13)</f>
        <v>13</v>
      </c>
      <c r="E24" t="s">
        <v>14</v>
      </c>
      <c r="F24" t="s">
        <v>15</v>
      </c>
      <c r="G24" t="s">
        <v>16</v>
      </c>
      <c r="H24" t="s">
        <v>17</v>
      </c>
      <c r="I24">
        <f>' 8-гр. ЛС 1 (2)'!F21</f>
        <v>1.4</v>
      </c>
      <c r="J24">
        <v>0</v>
      </c>
      <c r="O24">
        <f t="shared" ref="O24:O41" si="14">ROUND(CP24,0)</f>
        <v>7003</v>
      </c>
      <c r="P24">
        <f t="shared" ref="P24:P41" si="15">ROUND(CQ24*I24,0)</f>
        <v>216</v>
      </c>
      <c r="Q24">
        <f t="shared" ref="Q24:Q41" si="16">ROUND(CR24*I24,0)</f>
        <v>5518</v>
      </c>
      <c r="R24">
        <f t="shared" ref="R24:R41" si="17">ROUND(CS24*I24,0)</f>
        <v>1134</v>
      </c>
      <c r="S24">
        <f t="shared" ref="S24:S41" si="18">ROUND(CT24*I24,0)</f>
        <v>1269</v>
      </c>
      <c r="T24">
        <f t="shared" ref="T24:T41" si="19">ROUND(CU24*I24,0)</f>
        <v>0</v>
      </c>
      <c r="U24">
        <f t="shared" ref="U24:U41" si="20">CV24*I24</f>
        <v>6.5659999999999998</v>
      </c>
      <c r="V24">
        <f t="shared" ref="V24:V41" si="21">CW24*I24</f>
        <v>3.4860000000000002</v>
      </c>
      <c r="W24">
        <f t="shared" ref="W24:W41" si="22">ROUND(CX24*I24,0)</f>
        <v>0</v>
      </c>
      <c r="X24">
        <f t="shared" ref="X24:X41" si="23">ROUND(CY24,0)</f>
        <v>2812</v>
      </c>
      <c r="Y24">
        <f t="shared" ref="Y24:Y41" si="24">ROUND(CZ24,0)</f>
        <v>1634</v>
      </c>
      <c r="AA24">
        <v>27758530</v>
      </c>
      <c r="AB24">
        <f t="shared" ref="AB24:AB41" si="25">ROUND((AC24+AD24+AF24),2)</f>
        <v>5002.45</v>
      </c>
      <c r="AC24">
        <f>ROUND((SUM(SmtRes!BQ1:'SmtRes'!BQ13)),2)</f>
        <v>154.41</v>
      </c>
      <c r="AD24">
        <f>ROUND((((SUM(SmtRes!BR1:'SmtRes'!BR13))-(SUM(SmtRes!BS1:'SmtRes'!BS13)))+AE24),2)</f>
        <v>3941.37</v>
      </c>
      <c r="AE24">
        <f>ROUND((SUM(SmtRes!BS1:'SmtRes'!BS13)),2)</f>
        <v>810.08</v>
      </c>
      <c r="AF24">
        <f>ROUND((SUM(SmtRes!BT1:'SmtRes'!BT13)),2)</f>
        <v>906.67</v>
      </c>
      <c r="AG24">
        <f t="shared" ref="AG24:AG41" si="26">ROUND((AP24),2)</f>
        <v>0</v>
      </c>
      <c r="AH24">
        <f>(SUM(SmtRes!BU1:'SmtRes'!BU13))</f>
        <v>4.6900000000000004</v>
      </c>
      <c r="AI24">
        <f>(SUM(SmtRes!BV1:'SmtRes'!BV13))</f>
        <v>2.4900000000000002</v>
      </c>
      <c r="AJ24">
        <f t="shared" ref="AJ24:AJ41" si="27">ROUND((AS24),2)</f>
        <v>0</v>
      </c>
      <c r="AK24">
        <v>5002.4460024000009</v>
      </c>
      <c r="AL24">
        <f>SUM(SmtRes!AK9:'SmtRes'!AK13)</f>
        <v>154.40649999999999</v>
      </c>
      <c r="AM24">
        <f>SUM(SmtRes!AK3:'SmtRes'!AK8)</f>
        <v>3941.3686999999995</v>
      </c>
      <c r="AN24">
        <v>810.08339999999998</v>
      </c>
      <c r="AO24">
        <f>SUM(SmtRes!AK1:'SmtRes'!AK1)</f>
        <v>906.67079999999999</v>
      </c>
      <c r="AP24">
        <v>0</v>
      </c>
      <c r="AQ24">
        <v>4.6900000000000004</v>
      </c>
      <c r="AR24">
        <v>2.4900000000000002</v>
      </c>
      <c r="AS24">
        <v>0</v>
      </c>
      <c r="AT24">
        <v>117</v>
      </c>
      <c r="AU24">
        <v>68</v>
      </c>
      <c r="AV24">
        <v>1</v>
      </c>
      <c r="AW24">
        <v>1</v>
      </c>
      <c r="AZ24">
        <v>1</v>
      </c>
      <c r="BA24">
        <v>1</v>
      </c>
      <c r="BB24">
        <v>1</v>
      </c>
      <c r="BC24">
        <v>1</v>
      </c>
      <c r="BD24" t="s">
        <v>3</v>
      </c>
      <c r="BE24" t="s">
        <v>3</v>
      </c>
      <c r="BF24" t="s">
        <v>3</v>
      </c>
      <c r="BG24" t="s">
        <v>3</v>
      </c>
      <c r="BH24">
        <v>0</v>
      </c>
      <c r="BI24">
        <v>1</v>
      </c>
      <c r="BJ24" t="s">
        <v>18</v>
      </c>
      <c r="BM24">
        <v>5001</v>
      </c>
      <c r="BN24">
        <v>0</v>
      </c>
      <c r="BO24" t="s">
        <v>3</v>
      </c>
      <c r="BP24">
        <v>0</v>
      </c>
      <c r="BQ24">
        <v>2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3</v>
      </c>
      <c r="BZ24">
        <v>130</v>
      </c>
      <c r="CA24">
        <v>80</v>
      </c>
      <c r="CF24">
        <v>0</v>
      </c>
      <c r="CG24">
        <v>0</v>
      </c>
      <c r="CM24">
        <v>0</v>
      </c>
      <c r="CN24" t="s">
        <v>3</v>
      </c>
      <c r="CO24">
        <v>0</v>
      </c>
      <c r="CP24">
        <f t="shared" ref="CP24:CP41" si="28">(P24+Q24+S24)</f>
        <v>7003</v>
      </c>
      <c r="CQ24">
        <f t="shared" ref="CQ24:CQ41" si="29">AC24*BC24</f>
        <v>154.41</v>
      </c>
      <c r="CR24">
        <f t="shared" ref="CR24:CR41" si="30">AD24*BB24</f>
        <v>3941.37</v>
      </c>
      <c r="CS24">
        <f t="shared" ref="CS24:CS41" si="31">AE24*BS24</f>
        <v>810.08</v>
      </c>
      <c r="CT24">
        <f t="shared" ref="CT24:CT41" si="32">AF24*BA24</f>
        <v>906.67</v>
      </c>
      <c r="CU24">
        <f t="shared" ref="CU24:CU41" si="33">AG24</f>
        <v>0</v>
      </c>
      <c r="CV24">
        <f t="shared" ref="CV24:CV41" si="34">AH24</f>
        <v>4.6900000000000004</v>
      </c>
      <c r="CW24">
        <f t="shared" ref="CW24:CW41" si="35">AI24</f>
        <v>2.4900000000000002</v>
      </c>
      <c r="CX24">
        <f t="shared" ref="CX24:CX41" si="36">AJ24</f>
        <v>0</v>
      </c>
      <c r="CY24">
        <f>(((S24+R24)*AT24)/100)</f>
        <v>2811.51</v>
      </c>
      <c r="CZ24">
        <f>(((S24+R24)*AU24)/100)</f>
        <v>1634.04</v>
      </c>
      <c r="DC24" t="s">
        <v>3</v>
      </c>
      <c r="DD24" t="s">
        <v>3</v>
      </c>
      <c r="DE24" t="s">
        <v>3</v>
      </c>
      <c r="DF24" t="s">
        <v>3</v>
      </c>
      <c r="DG24" t="s">
        <v>3</v>
      </c>
      <c r="DH24" t="s">
        <v>3</v>
      </c>
      <c r="DI24" t="s">
        <v>3</v>
      </c>
      <c r="DJ24" t="s">
        <v>3</v>
      </c>
      <c r="DK24" t="s">
        <v>3</v>
      </c>
      <c r="DL24" t="s">
        <v>3</v>
      </c>
      <c r="DM24" t="s">
        <v>3</v>
      </c>
      <c r="DN24">
        <v>0</v>
      </c>
      <c r="DO24">
        <v>0</v>
      </c>
      <c r="DP24">
        <v>1</v>
      </c>
      <c r="DQ24">
        <v>1</v>
      </c>
      <c r="DU24">
        <v>1013</v>
      </c>
      <c r="DV24" t="s">
        <v>17</v>
      </c>
      <c r="DW24" t="s">
        <v>17</v>
      </c>
      <c r="DX24">
        <v>1</v>
      </c>
      <c r="EE24">
        <v>26439566</v>
      </c>
      <c r="EF24">
        <v>2</v>
      </c>
      <c r="EG24" t="s">
        <v>19</v>
      </c>
      <c r="EH24">
        <v>0</v>
      </c>
      <c r="EI24" t="s">
        <v>3</v>
      </c>
      <c r="EJ24">
        <v>1</v>
      </c>
      <c r="EK24">
        <v>5001</v>
      </c>
      <c r="EL24" t="s">
        <v>20</v>
      </c>
      <c r="EM24" t="s">
        <v>21</v>
      </c>
      <c r="EO24" t="s">
        <v>3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4.6900000000000004</v>
      </c>
      <c r="EX24">
        <v>2.4900000000000002</v>
      </c>
      <c r="EY24">
        <v>0</v>
      </c>
      <c r="FQ24">
        <v>0</v>
      </c>
      <c r="FR24">
        <f t="shared" ref="FR24:FR41" si="37">ROUND(IF(AND(BH24=3,BI24=3),P24,0),0)</f>
        <v>0</v>
      </c>
      <c r="FS24">
        <v>0</v>
      </c>
      <c r="FT24" t="s">
        <v>22</v>
      </c>
      <c r="FU24" t="s">
        <v>23</v>
      </c>
      <c r="FX24">
        <v>117</v>
      </c>
      <c r="FY24">
        <v>68</v>
      </c>
      <c r="GA24" t="s">
        <v>3</v>
      </c>
      <c r="GD24">
        <v>0</v>
      </c>
      <c r="GF24">
        <v>1191744772</v>
      </c>
      <c r="GG24">
        <v>2</v>
      </c>
      <c r="GH24">
        <v>1</v>
      </c>
      <c r="GI24">
        <v>-2</v>
      </c>
      <c r="GJ24">
        <v>0</v>
      </c>
      <c r="GK24">
        <f>ROUND(R24*(R12)/100,0)</f>
        <v>0</v>
      </c>
      <c r="GL24">
        <f t="shared" ref="GL24:GL41" si="38">ROUND(IF(AND(BH24=3,BI24=3,FS24&lt;&gt;0),P24,0),0)</f>
        <v>0</v>
      </c>
      <c r="GM24">
        <f t="shared" ref="GM24:GM41" si="39">ROUND(O24+X24+Y24+GK24,0)+GX24</f>
        <v>11449</v>
      </c>
      <c r="GN24">
        <f t="shared" ref="GN24:GN41" si="40">IF(OR(BI24=0,BI24=1),ROUND(O24+X24+Y24+GK24,0),0)</f>
        <v>11449</v>
      </c>
      <c r="GO24">
        <f t="shared" ref="GO24:GO41" si="41">IF(BI24=2,ROUND(O24+X24+Y24+GK24,0),0)</f>
        <v>0</v>
      </c>
      <c r="GP24">
        <f t="shared" ref="GP24:GP41" si="42">IF(BI24=4,ROUND(O24+X24+Y24+GK24,0)+GX24,0)</f>
        <v>0</v>
      </c>
      <c r="GR24">
        <v>0</v>
      </c>
      <c r="GS24">
        <v>3</v>
      </c>
      <c r="GT24">
        <v>0</v>
      </c>
      <c r="GU24" t="s">
        <v>3</v>
      </c>
      <c r="GV24">
        <f t="shared" ref="GV24:GV41" si="43">ROUND(GT24,2)</f>
        <v>0</v>
      </c>
      <c r="GW24">
        <v>1</v>
      </c>
      <c r="GX24">
        <f t="shared" ref="GX24:GX41" si="44">ROUND(GV24*GW24*I24,0)</f>
        <v>0</v>
      </c>
      <c r="HA24">
        <v>0</v>
      </c>
      <c r="HB24">
        <v>0</v>
      </c>
      <c r="IK24">
        <v>0</v>
      </c>
    </row>
    <row r="25" spans="1:245" x14ac:dyDescent="0.2">
      <c r="A25">
        <v>17</v>
      </c>
      <c r="B25">
        <v>1</v>
      </c>
      <c r="C25">
        <f>ROW(SmtRes!A21)</f>
        <v>21</v>
      </c>
      <c r="D25">
        <f>ROW(EtalonRes!A21)</f>
        <v>21</v>
      </c>
      <c r="E25" t="s">
        <v>24</v>
      </c>
      <c r="F25" t="s">
        <v>25</v>
      </c>
      <c r="G25" t="s">
        <v>26</v>
      </c>
      <c r="H25" t="s">
        <v>27</v>
      </c>
      <c r="I25">
        <f>' 8-гр. ЛС 1 (2)'!F44</f>
        <v>7.0000000000000007E-2</v>
      </c>
      <c r="J25">
        <v>0</v>
      </c>
      <c r="O25">
        <f t="shared" si="14"/>
        <v>3522</v>
      </c>
      <c r="P25">
        <f t="shared" si="15"/>
        <v>862</v>
      </c>
      <c r="Q25">
        <f t="shared" si="16"/>
        <v>662</v>
      </c>
      <c r="R25">
        <f t="shared" si="17"/>
        <v>346</v>
      </c>
      <c r="S25">
        <f t="shared" si="18"/>
        <v>1998</v>
      </c>
      <c r="T25">
        <f t="shared" si="19"/>
        <v>0</v>
      </c>
      <c r="U25">
        <f t="shared" si="20"/>
        <v>12.600000000000001</v>
      </c>
      <c r="V25">
        <f t="shared" si="21"/>
        <v>1.2600000000000002</v>
      </c>
      <c r="W25">
        <f t="shared" si="22"/>
        <v>0</v>
      </c>
      <c r="X25">
        <f t="shared" si="23"/>
        <v>2227</v>
      </c>
      <c r="Y25">
        <f t="shared" si="24"/>
        <v>1289</v>
      </c>
      <c r="AA25">
        <v>27758530</v>
      </c>
      <c r="AB25">
        <f t="shared" si="25"/>
        <v>50309.440000000002</v>
      </c>
      <c r="AC25">
        <f>ROUND((SUM(SmtRes!BQ14:'SmtRes'!BQ21)),2)</f>
        <v>12313.66</v>
      </c>
      <c r="AD25">
        <f>ROUND((((SUM(SmtRes!BR14:'SmtRes'!BR21))-(SUM(SmtRes!BS14:'SmtRes'!BS21)))+AE25),2)</f>
        <v>9458.58</v>
      </c>
      <c r="AE25">
        <f>ROUND((SUM(SmtRes!BS14:'SmtRes'!BS21)),2)</f>
        <v>4939.38</v>
      </c>
      <c r="AF25">
        <f>ROUND((SUM(SmtRes!BT14:'SmtRes'!BT21)),2)</f>
        <v>28537.200000000001</v>
      </c>
      <c r="AG25">
        <f t="shared" si="26"/>
        <v>0</v>
      </c>
      <c r="AH25">
        <f>(SUM(SmtRes!BU14:'SmtRes'!BU21))</f>
        <v>180</v>
      </c>
      <c r="AI25">
        <f>(SUM(SmtRes!BV14:'SmtRes'!BV21))</f>
        <v>18</v>
      </c>
      <c r="AJ25">
        <f t="shared" si="27"/>
        <v>0</v>
      </c>
      <c r="AK25">
        <v>50309.436499999996</v>
      </c>
      <c r="AL25">
        <f>SUM(SmtRes!AK19:'SmtRes'!AK21)</f>
        <v>12313.657999999999</v>
      </c>
      <c r="AM25">
        <f>SUM(SmtRes!AK16:'SmtRes'!AK18)</f>
        <v>9458.5784999999996</v>
      </c>
      <c r="AN25">
        <v>4939.38</v>
      </c>
      <c r="AO25">
        <f>SUM(SmtRes!AK14:'SmtRes'!AK14)</f>
        <v>28537.200000000001</v>
      </c>
      <c r="AP25">
        <v>0</v>
      </c>
      <c r="AQ25">
        <v>180</v>
      </c>
      <c r="AR25">
        <v>18</v>
      </c>
      <c r="AS25">
        <v>0</v>
      </c>
      <c r="AT25">
        <v>95</v>
      </c>
      <c r="AU25">
        <v>55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1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28</v>
      </c>
      <c r="BM25">
        <v>6001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105</v>
      </c>
      <c r="CA25">
        <v>65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28"/>
        <v>3522</v>
      </c>
      <c r="CQ25">
        <f t="shared" si="29"/>
        <v>12313.66</v>
      </c>
      <c r="CR25">
        <f t="shared" si="30"/>
        <v>9458.58</v>
      </c>
      <c r="CS25">
        <f t="shared" si="31"/>
        <v>4939.38</v>
      </c>
      <c r="CT25">
        <f t="shared" si="32"/>
        <v>28537.200000000001</v>
      </c>
      <c r="CU25">
        <f t="shared" si="33"/>
        <v>0</v>
      </c>
      <c r="CV25">
        <f t="shared" si="34"/>
        <v>180</v>
      </c>
      <c r="CW25">
        <f t="shared" si="35"/>
        <v>18</v>
      </c>
      <c r="CX25">
        <f t="shared" si="36"/>
        <v>0</v>
      </c>
      <c r="CY25">
        <f>(((S25+R25)*AT25)/100)</f>
        <v>2226.8000000000002</v>
      </c>
      <c r="CZ25">
        <f>(((S25+R25)*AU25)/100)</f>
        <v>1289.2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27</v>
      </c>
      <c r="DW25" t="s">
        <v>27</v>
      </c>
      <c r="DX25">
        <v>1</v>
      </c>
      <c r="EE25">
        <v>26439569</v>
      </c>
      <c r="EF25">
        <v>2</v>
      </c>
      <c r="EG25" t="s">
        <v>19</v>
      </c>
      <c r="EH25">
        <v>0</v>
      </c>
      <c r="EI25" t="s">
        <v>3</v>
      </c>
      <c r="EJ25">
        <v>1</v>
      </c>
      <c r="EK25">
        <v>6001</v>
      </c>
      <c r="EL25" t="s">
        <v>29</v>
      </c>
      <c r="EM25" t="s">
        <v>30</v>
      </c>
      <c r="EO25" t="s">
        <v>3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180</v>
      </c>
      <c r="EX25">
        <v>18</v>
      </c>
      <c r="EY25">
        <v>0</v>
      </c>
      <c r="FQ25">
        <v>0</v>
      </c>
      <c r="FR25">
        <f t="shared" si="37"/>
        <v>0</v>
      </c>
      <c r="FS25">
        <v>0</v>
      </c>
      <c r="FT25" t="s">
        <v>22</v>
      </c>
      <c r="FU25" t="s">
        <v>23</v>
      </c>
      <c r="FX25">
        <v>94.5</v>
      </c>
      <c r="FY25">
        <v>55.25</v>
      </c>
      <c r="GA25" t="s">
        <v>3</v>
      </c>
      <c r="GD25">
        <v>0</v>
      </c>
      <c r="GF25">
        <v>431980594</v>
      </c>
      <c r="GG25">
        <v>2</v>
      </c>
      <c r="GH25">
        <v>1</v>
      </c>
      <c r="GI25">
        <v>-2</v>
      </c>
      <c r="GJ25">
        <v>0</v>
      </c>
      <c r="GK25">
        <f>ROUND(R25*(R12)/100,0)</f>
        <v>0</v>
      </c>
      <c r="GL25">
        <f t="shared" si="38"/>
        <v>0</v>
      </c>
      <c r="GM25">
        <f t="shared" si="39"/>
        <v>7038</v>
      </c>
      <c r="GN25">
        <f t="shared" si="40"/>
        <v>7038</v>
      </c>
      <c r="GO25">
        <f t="shared" si="41"/>
        <v>0</v>
      </c>
      <c r="GP25">
        <f t="shared" si="42"/>
        <v>0</v>
      </c>
      <c r="GR25">
        <v>0</v>
      </c>
      <c r="GS25">
        <v>3</v>
      </c>
      <c r="GT25">
        <v>0</v>
      </c>
      <c r="GU25" t="s">
        <v>3</v>
      </c>
      <c r="GV25">
        <f t="shared" si="43"/>
        <v>0</v>
      </c>
      <c r="GW25">
        <v>1</v>
      </c>
      <c r="GX25">
        <f t="shared" si="44"/>
        <v>0</v>
      </c>
      <c r="HA25">
        <v>0</v>
      </c>
      <c r="HB25">
        <v>0</v>
      </c>
      <c r="IK25">
        <v>0</v>
      </c>
    </row>
    <row r="26" spans="1:245" x14ac:dyDescent="0.2">
      <c r="A26">
        <v>17</v>
      </c>
      <c r="B26">
        <v>1</v>
      </c>
      <c r="E26" t="s">
        <v>31</v>
      </c>
      <c r="F26" t="s">
        <v>32</v>
      </c>
      <c r="G26" t="s">
        <v>33</v>
      </c>
      <c r="H26" t="s">
        <v>34</v>
      </c>
      <c r="I26">
        <f>' 8-гр. ЛС 1 (2)'!F60</f>
        <v>7</v>
      </c>
      <c r="J26">
        <v>0</v>
      </c>
      <c r="O26">
        <f t="shared" si="14"/>
        <v>30948</v>
      </c>
      <c r="P26">
        <f t="shared" si="15"/>
        <v>30948</v>
      </c>
      <c r="Q26">
        <f t="shared" si="16"/>
        <v>0</v>
      </c>
      <c r="R26">
        <f t="shared" si="17"/>
        <v>0</v>
      </c>
      <c r="S26">
        <f t="shared" si="18"/>
        <v>0</v>
      </c>
      <c r="T26">
        <f t="shared" si="19"/>
        <v>0</v>
      </c>
      <c r="U26">
        <f t="shared" si="20"/>
        <v>0</v>
      </c>
      <c r="V26">
        <f t="shared" si="21"/>
        <v>0</v>
      </c>
      <c r="W26">
        <f t="shared" si="22"/>
        <v>460</v>
      </c>
      <c r="X26">
        <f t="shared" si="23"/>
        <v>0</v>
      </c>
      <c r="Y26">
        <f t="shared" si="24"/>
        <v>0</v>
      </c>
      <c r="AA26">
        <v>27758530</v>
      </c>
      <c r="AB26">
        <f t="shared" si="25"/>
        <v>4421.1899999999996</v>
      </c>
      <c r="AC26">
        <f>ROUND((ES26),2)</f>
        <v>4421.1899999999996</v>
      </c>
      <c r="AD26">
        <f>ROUND((((ET26)-(EU26))+AE26),2)</f>
        <v>0</v>
      </c>
      <c r="AE26">
        <f>ROUND((EU26),2)</f>
        <v>0</v>
      </c>
      <c r="AF26">
        <f>ROUND((EV26),2)</f>
        <v>0</v>
      </c>
      <c r="AG26">
        <f t="shared" si="26"/>
        <v>0</v>
      </c>
      <c r="AH26">
        <f>(EW26)</f>
        <v>0</v>
      </c>
      <c r="AI26">
        <f>(EX26)</f>
        <v>0</v>
      </c>
      <c r="AJ26">
        <f t="shared" si="27"/>
        <v>65.709999999999994</v>
      </c>
      <c r="AK26">
        <v>4421.1899999999996</v>
      </c>
      <c r="AL26">
        <v>4421.1899999999996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65.709999999999994</v>
      </c>
      <c r="AT26">
        <v>0</v>
      </c>
      <c r="AU26">
        <v>0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1</v>
      </c>
      <c r="BD26" t="s">
        <v>3</v>
      </c>
      <c r="BE26" t="s">
        <v>3</v>
      </c>
      <c r="BF26" t="s">
        <v>3</v>
      </c>
      <c r="BG26" t="s">
        <v>3</v>
      </c>
      <c r="BH26">
        <v>3</v>
      </c>
      <c r="BI26">
        <v>1</v>
      </c>
      <c r="BJ26" t="s">
        <v>35</v>
      </c>
      <c r="BM26">
        <v>500001</v>
      </c>
      <c r="BN26">
        <v>0</v>
      </c>
      <c r="BO26" t="s">
        <v>3</v>
      </c>
      <c r="BP26">
        <v>0</v>
      </c>
      <c r="BQ26">
        <v>8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3</v>
      </c>
      <c r="BZ26">
        <v>0</v>
      </c>
      <c r="CA26">
        <v>0</v>
      </c>
      <c r="CF26">
        <v>0</v>
      </c>
      <c r="CG26">
        <v>0</v>
      </c>
      <c r="CM26">
        <v>0</v>
      </c>
      <c r="CN26" t="s">
        <v>3</v>
      </c>
      <c r="CO26">
        <v>0</v>
      </c>
      <c r="CP26">
        <f t="shared" si="28"/>
        <v>30948</v>
      </c>
      <c r="CQ26">
        <f t="shared" si="29"/>
        <v>4421.1899999999996</v>
      </c>
      <c r="CR26">
        <f t="shared" si="30"/>
        <v>0</v>
      </c>
      <c r="CS26">
        <f t="shared" si="31"/>
        <v>0</v>
      </c>
      <c r="CT26">
        <f t="shared" si="32"/>
        <v>0</v>
      </c>
      <c r="CU26">
        <f t="shared" si="33"/>
        <v>0</v>
      </c>
      <c r="CV26">
        <f t="shared" si="34"/>
        <v>0</v>
      </c>
      <c r="CW26">
        <f t="shared" si="35"/>
        <v>0</v>
      </c>
      <c r="CX26">
        <f t="shared" si="36"/>
        <v>65.709999999999994</v>
      </c>
      <c r="CY26">
        <f>(((S26+R26)*AT26)/100)</f>
        <v>0</v>
      </c>
      <c r="CZ26">
        <f>(((S26+R26)*AU26)/100)</f>
        <v>0</v>
      </c>
      <c r="DC26" t="s">
        <v>3</v>
      </c>
      <c r="DD26" t="s">
        <v>3</v>
      </c>
      <c r="DE26" t="s">
        <v>3</v>
      </c>
      <c r="DF26" t="s">
        <v>3</v>
      </c>
      <c r="DG26" t="s">
        <v>3</v>
      </c>
      <c r="DH26" t="s">
        <v>3</v>
      </c>
      <c r="DI26" t="s">
        <v>3</v>
      </c>
      <c r="DJ26" t="s">
        <v>3</v>
      </c>
      <c r="DK26" t="s">
        <v>3</v>
      </c>
      <c r="DL26" t="s">
        <v>3</v>
      </c>
      <c r="DM26" t="s">
        <v>3</v>
      </c>
      <c r="DN26">
        <v>0</v>
      </c>
      <c r="DO26">
        <v>0</v>
      </c>
      <c r="DP26">
        <v>1</v>
      </c>
      <c r="DQ26">
        <v>1</v>
      </c>
      <c r="DU26">
        <v>1007</v>
      </c>
      <c r="DV26" t="s">
        <v>34</v>
      </c>
      <c r="DW26" t="s">
        <v>34</v>
      </c>
      <c r="DX26">
        <v>1</v>
      </c>
      <c r="EE26">
        <v>26439515</v>
      </c>
      <c r="EF26">
        <v>8</v>
      </c>
      <c r="EG26" t="s">
        <v>36</v>
      </c>
      <c r="EH26">
        <v>0</v>
      </c>
      <c r="EI26" t="s">
        <v>3</v>
      </c>
      <c r="EJ26">
        <v>1</v>
      </c>
      <c r="EK26">
        <v>500001</v>
      </c>
      <c r="EL26" t="s">
        <v>37</v>
      </c>
      <c r="EM26" t="s">
        <v>38</v>
      </c>
      <c r="EO26" t="s">
        <v>3</v>
      </c>
      <c r="EQ26">
        <v>0</v>
      </c>
      <c r="ER26">
        <v>4421.1899999999996</v>
      </c>
      <c r="ES26">
        <v>4421.1899999999996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FQ26">
        <v>0</v>
      </c>
      <c r="FR26">
        <f t="shared" si="37"/>
        <v>0</v>
      </c>
      <c r="FS26">
        <v>0</v>
      </c>
      <c r="FX26">
        <v>0</v>
      </c>
      <c r="FY26">
        <v>0</v>
      </c>
      <c r="GA26" t="s">
        <v>3</v>
      </c>
      <c r="GD26">
        <v>0</v>
      </c>
      <c r="GE26">
        <v>668.28</v>
      </c>
      <c r="GF26">
        <v>-2119202396</v>
      </c>
      <c r="GG26">
        <v>2</v>
      </c>
      <c r="GH26">
        <v>1</v>
      </c>
      <c r="GI26">
        <v>-2</v>
      </c>
      <c r="GJ26">
        <v>0</v>
      </c>
      <c r="GK26">
        <f>ROUND(R26*(R12)/100,0)</f>
        <v>0</v>
      </c>
      <c r="GL26">
        <f t="shared" si="38"/>
        <v>0</v>
      </c>
      <c r="GM26">
        <f t="shared" si="39"/>
        <v>30948</v>
      </c>
      <c r="GN26">
        <f t="shared" si="40"/>
        <v>30948</v>
      </c>
      <c r="GO26">
        <f t="shared" si="41"/>
        <v>0</v>
      </c>
      <c r="GP26">
        <f t="shared" si="42"/>
        <v>0</v>
      </c>
      <c r="GR26">
        <v>3</v>
      </c>
      <c r="GS26">
        <v>3</v>
      </c>
      <c r="GT26">
        <v>0</v>
      </c>
      <c r="GU26" t="s">
        <v>3</v>
      </c>
      <c r="GV26">
        <f t="shared" si="43"/>
        <v>0</v>
      </c>
      <c r="GW26">
        <v>1</v>
      </c>
      <c r="GX26">
        <f t="shared" si="44"/>
        <v>0</v>
      </c>
      <c r="HA26">
        <v>0</v>
      </c>
      <c r="HB26">
        <v>0</v>
      </c>
      <c r="IK26">
        <v>0</v>
      </c>
    </row>
    <row r="27" spans="1:245" x14ac:dyDescent="0.2">
      <c r="A27">
        <v>17</v>
      </c>
      <c r="B27">
        <v>1</v>
      </c>
      <c r="C27">
        <f>ROW(SmtRes!A29)</f>
        <v>29</v>
      </c>
      <c r="D27">
        <f>ROW(EtalonRes!A29)</f>
        <v>29</v>
      </c>
      <c r="E27" t="s">
        <v>39</v>
      </c>
      <c r="F27" t="s">
        <v>25</v>
      </c>
      <c r="G27" t="s">
        <v>40</v>
      </c>
      <c r="H27" t="s">
        <v>27</v>
      </c>
      <c r="I27">
        <f>' 8-гр. ЛС 1 (2)'!F61</f>
        <v>0.93</v>
      </c>
      <c r="J27">
        <v>0</v>
      </c>
      <c r="O27">
        <f t="shared" si="14"/>
        <v>36988</v>
      </c>
      <c r="P27">
        <f t="shared" si="15"/>
        <v>11452</v>
      </c>
      <c r="Q27">
        <f t="shared" si="16"/>
        <v>8796</v>
      </c>
      <c r="R27">
        <f t="shared" si="17"/>
        <v>4594</v>
      </c>
      <c r="S27">
        <f t="shared" si="18"/>
        <v>16740</v>
      </c>
      <c r="T27">
        <f t="shared" si="19"/>
        <v>0</v>
      </c>
      <c r="U27">
        <f t="shared" si="20"/>
        <v>167.4</v>
      </c>
      <c r="V27">
        <f t="shared" si="21"/>
        <v>16.740000000000002</v>
      </c>
      <c r="W27">
        <f t="shared" si="22"/>
        <v>0</v>
      </c>
      <c r="X27">
        <f t="shared" si="23"/>
        <v>20267</v>
      </c>
      <c r="Y27">
        <f t="shared" si="24"/>
        <v>11734</v>
      </c>
      <c r="AA27">
        <v>27758530</v>
      </c>
      <c r="AB27">
        <f t="shared" si="25"/>
        <v>39772.239999999998</v>
      </c>
      <c r="AC27">
        <f>ROUND((SUM(SmtRes!BQ22:'SmtRes'!BQ29)),2)</f>
        <v>12313.66</v>
      </c>
      <c r="AD27">
        <f>ROUND((((SUM(SmtRes!BR22:'SmtRes'!BR29))-(SUM(SmtRes!BS22:'SmtRes'!BS29)))+AE27),2)</f>
        <v>9458.58</v>
      </c>
      <c r="AE27">
        <f>ROUND((SUM(SmtRes!BS22:'SmtRes'!BS29)),2)</f>
        <v>4939.38</v>
      </c>
      <c r="AF27">
        <f>ROUND((SUM(SmtRes!BT22:'SmtRes'!BT29)),2)</f>
        <v>18000</v>
      </c>
      <c r="AG27">
        <f t="shared" si="26"/>
        <v>0</v>
      </c>
      <c r="AH27">
        <f>(SUM(SmtRes!BU22:'SmtRes'!BU29))</f>
        <v>180</v>
      </c>
      <c r="AI27">
        <f>(SUM(SmtRes!BV22:'SmtRes'!BV29))</f>
        <v>18</v>
      </c>
      <c r="AJ27">
        <f t="shared" si="27"/>
        <v>0</v>
      </c>
      <c r="AK27">
        <v>39772.236499999999</v>
      </c>
      <c r="AL27">
        <f>SUM(SmtRes!AK27:'SmtRes'!AK29)</f>
        <v>12313.657999999999</v>
      </c>
      <c r="AM27">
        <f>SUM(SmtRes!AK24:'SmtRes'!AK26)</f>
        <v>9458.5784999999996</v>
      </c>
      <c r="AN27">
        <v>4939.38</v>
      </c>
      <c r="AO27">
        <f>SUM(SmtRes!AK22:'SmtRes'!AK22)</f>
        <v>18000</v>
      </c>
      <c r="AP27">
        <v>0</v>
      </c>
      <c r="AQ27">
        <v>180</v>
      </c>
      <c r="AR27">
        <v>18</v>
      </c>
      <c r="AS27">
        <v>0</v>
      </c>
      <c r="AT27">
        <v>95</v>
      </c>
      <c r="AU27">
        <v>55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1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28</v>
      </c>
      <c r="BM27">
        <v>6001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105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8"/>
        <v>36988</v>
      </c>
      <c r="CQ27">
        <f t="shared" si="29"/>
        <v>12313.66</v>
      </c>
      <c r="CR27">
        <f t="shared" si="30"/>
        <v>9458.58</v>
      </c>
      <c r="CS27">
        <f t="shared" si="31"/>
        <v>4939.38</v>
      </c>
      <c r="CT27">
        <f t="shared" si="32"/>
        <v>18000</v>
      </c>
      <c r="CU27">
        <f t="shared" si="33"/>
        <v>0</v>
      </c>
      <c r="CV27">
        <f t="shared" si="34"/>
        <v>180</v>
      </c>
      <c r="CW27">
        <f t="shared" si="35"/>
        <v>18</v>
      </c>
      <c r="CX27">
        <f t="shared" si="36"/>
        <v>0</v>
      </c>
      <c r="CY27">
        <f>(((S27+R27)*AT27)/100)</f>
        <v>20267.3</v>
      </c>
      <c r="CZ27">
        <f>(((S27+R27)*AU27)/100)</f>
        <v>11733.7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27</v>
      </c>
      <c r="DW27" t="s">
        <v>27</v>
      </c>
      <c r="DX27">
        <v>1</v>
      </c>
      <c r="EE27">
        <v>26439569</v>
      </c>
      <c r="EF27">
        <v>2</v>
      </c>
      <c r="EG27" t="s">
        <v>19</v>
      </c>
      <c r="EH27">
        <v>0</v>
      </c>
      <c r="EI27" t="s">
        <v>3</v>
      </c>
      <c r="EJ27">
        <v>1</v>
      </c>
      <c r="EK27">
        <v>6001</v>
      </c>
      <c r="EL27" t="s">
        <v>29</v>
      </c>
      <c r="EM27" t="s">
        <v>30</v>
      </c>
      <c r="EO27" t="s">
        <v>3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180</v>
      </c>
      <c r="EX27">
        <v>18</v>
      </c>
      <c r="EY27">
        <v>0</v>
      </c>
      <c r="FQ27">
        <v>0</v>
      </c>
      <c r="FR27">
        <f t="shared" si="37"/>
        <v>0</v>
      </c>
      <c r="FS27">
        <v>0</v>
      </c>
      <c r="FT27" t="s">
        <v>22</v>
      </c>
      <c r="FU27" t="s">
        <v>23</v>
      </c>
      <c r="FX27">
        <v>94.5</v>
      </c>
      <c r="FY27">
        <v>55.25</v>
      </c>
      <c r="GA27" t="s">
        <v>3</v>
      </c>
      <c r="GD27">
        <v>0</v>
      </c>
      <c r="GF27">
        <v>-320511945</v>
      </c>
      <c r="GG27">
        <v>2</v>
      </c>
      <c r="GH27">
        <v>1</v>
      </c>
      <c r="GI27">
        <v>-2</v>
      </c>
      <c r="GJ27">
        <v>0</v>
      </c>
      <c r="GK27">
        <f>ROUND(R27*(R12)/100,0)</f>
        <v>0</v>
      </c>
      <c r="GL27">
        <f t="shared" si="38"/>
        <v>0</v>
      </c>
      <c r="GM27">
        <f t="shared" si="39"/>
        <v>68989</v>
      </c>
      <c r="GN27">
        <f t="shared" si="40"/>
        <v>68989</v>
      </c>
      <c r="GO27">
        <f t="shared" si="41"/>
        <v>0</v>
      </c>
      <c r="GP27">
        <f t="shared" si="42"/>
        <v>0</v>
      </c>
      <c r="GR27">
        <v>0</v>
      </c>
      <c r="GS27">
        <v>3</v>
      </c>
      <c r="GT27">
        <v>0</v>
      </c>
      <c r="GU27" t="s">
        <v>3</v>
      </c>
      <c r="GV27">
        <f t="shared" si="43"/>
        <v>0</v>
      </c>
      <c r="GW27">
        <v>1</v>
      </c>
      <c r="GX27">
        <f t="shared" si="44"/>
        <v>0</v>
      </c>
      <c r="HA27">
        <v>0</v>
      </c>
      <c r="HB27">
        <v>0</v>
      </c>
      <c r="IK27">
        <v>0</v>
      </c>
    </row>
    <row r="28" spans="1:245" x14ac:dyDescent="0.2">
      <c r="A28">
        <v>17</v>
      </c>
      <c r="B28">
        <v>1</v>
      </c>
      <c r="C28">
        <f>ROW(SmtRes!A30)</f>
        <v>30</v>
      </c>
      <c r="D28">
        <f>ROW(EtalonRes!A30)</f>
        <v>30</v>
      </c>
      <c r="E28" t="s">
        <v>41</v>
      </c>
      <c r="F28" t="s">
        <v>42</v>
      </c>
      <c r="G28" t="s">
        <v>43</v>
      </c>
      <c r="H28" t="s">
        <v>44</v>
      </c>
      <c r="I28">
        <f>' 8-гр. ЛС 1 (2)'!F77</f>
        <v>4.0199999999999996</v>
      </c>
      <c r="J28">
        <v>0</v>
      </c>
      <c r="O28">
        <f t="shared" si="14"/>
        <v>10159</v>
      </c>
      <c r="P28">
        <f t="shared" si="15"/>
        <v>0</v>
      </c>
      <c r="Q28">
        <f t="shared" si="16"/>
        <v>10159</v>
      </c>
      <c r="R28">
        <f t="shared" si="17"/>
        <v>0</v>
      </c>
      <c r="S28">
        <f t="shared" si="18"/>
        <v>0</v>
      </c>
      <c r="T28">
        <f t="shared" si="19"/>
        <v>0</v>
      </c>
      <c r="U28">
        <f t="shared" si="20"/>
        <v>0</v>
      </c>
      <c r="V28">
        <f t="shared" si="21"/>
        <v>0</v>
      </c>
      <c r="W28">
        <f t="shared" si="22"/>
        <v>0</v>
      </c>
      <c r="X28">
        <f t="shared" si="23"/>
        <v>0</v>
      </c>
      <c r="Y28">
        <f t="shared" si="24"/>
        <v>0</v>
      </c>
      <c r="AA28">
        <v>27758530</v>
      </c>
      <c r="AB28">
        <f t="shared" si="25"/>
        <v>2527</v>
      </c>
      <c r="AC28">
        <f>ROUND((0),2)</f>
        <v>0</v>
      </c>
      <c r="AD28">
        <f>ROUND((((SUM(SmtRes!BR30:'SmtRes'!BR30))-(0))+AE28),2)</f>
        <v>2527</v>
      </c>
      <c r="AE28">
        <f>ROUND((0),2)</f>
        <v>0</v>
      </c>
      <c r="AF28">
        <f>ROUND((0),2)</f>
        <v>0</v>
      </c>
      <c r="AG28">
        <f t="shared" si="26"/>
        <v>0</v>
      </c>
      <c r="AH28">
        <f>(0)</f>
        <v>0</v>
      </c>
      <c r="AI28">
        <f>(0)</f>
        <v>0</v>
      </c>
      <c r="AJ28">
        <f t="shared" si="27"/>
        <v>0</v>
      </c>
      <c r="AK28">
        <v>2527</v>
      </c>
      <c r="AL28">
        <v>0</v>
      </c>
      <c r="AM28">
        <f>SUM(SmtRes!AK30:'SmtRes'!AK30)</f>
        <v>2527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45</v>
      </c>
      <c r="BM28">
        <v>700005</v>
      </c>
      <c r="BN28">
        <v>0</v>
      </c>
      <c r="BO28" t="s">
        <v>3</v>
      </c>
      <c r="BP28">
        <v>0</v>
      </c>
      <c r="BQ28">
        <v>10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0</v>
      </c>
      <c r="CA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si="28"/>
        <v>10159</v>
      </c>
      <c r="CQ28">
        <f t="shared" si="29"/>
        <v>0</v>
      </c>
      <c r="CR28">
        <f t="shared" si="30"/>
        <v>2527</v>
      </c>
      <c r="CS28">
        <f t="shared" si="31"/>
        <v>0</v>
      </c>
      <c r="CT28">
        <f t="shared" si="32"/>
        <v>0</v>
      </c>
      <c r="CU28">
        <f t="shared" si="33"/>
        <v>0</v>
      </c>
      <c r="CV28">
        <f t="shared" si="34"/>
        <v>0</v>
      </c>
      <c r="CW28">
        <f t="shared" si="35"/>
        <v>0</v>
      </c>
      <c r="CX28">
        <f t="shared" si="36"/>
        <v>0</v>
      </c>
      <c r="CY28">
        <f>0</f>
        <v>0</v>
      </c>
      <c r="CZ28">
        <f>0</f>
        <v>0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44</v>
      </c>
      <c r="DW28" t="s">
        <v>44</v>
      </c>
      <c r="DX28">
        <v>1</v>
      </c>
      <c r="EE28">
        <v>26439774</v>
      </c>
      <c r="EF28">
        <v>10</v>
      </c>
      <c r="EG28" t="s">
        <v>46</v>
      </c>
      <c r="EH28">
        <v>0</v>
      </c>
      <c r="EI28" t="s">
        <v>3</v>
      </c>
      <c r="EJ28">
        <v>1</v>
      </c>
      <c r="EK28">
        <v>700005</v>
      </c>
      <c r="EL28" t="s">
        <v>47</v>
      </c>
      <c r="EM28" t="s">
        <v>48</v>
      </c>
      <c r="EO28" t="s">
        <v>3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FQ28">
        <v>0</v>
      </c>
      <c r="FR28">
        <f t="shared" si="37"/>
        <v>0</v>
      </c>
      <c r="FS28">
        <v>0</v>
      </c>
      <c r="FX28">
        <v>0</v>
      </c>
      <c r="FY28">
        <v>0</v>
      </c>
      <c r="GA28" t="s">
        <v>3</v>
      </c>
      <c r="GD28">
        <v>0</v>
      </c>
      <c r="GF28">
        <v>955964945</v>
      </c>
      <c r="GG28">
        <v>2</v>
      </c>
      <c r="GH28">
        <v>1</v>
      </c>
      <c r="GI28">
        <v>-2</v>
      </c>
      <c r="GJ28">
        <v>0</v>
      </c>
      <c r="GK28">
        <f>ROUND(R28*(R12)/100,0)</f>
        <v>0</v>
      </c>
      <c r="GL28">
        <f t="shared" si="38"/>
        <v>0</v>
      </c>
      <c r="GM28">
        <f t="shared" si="39"/>
        <v>10159</v>
      </c>
      <c r="GN28">
        <f t="shared" si="40"/>
        <v>10159</v>
      </c>
      <c r="GO28">
        <f t="shared" si="41"/>
        <v>0</v>
      </c>
      <c r="GP28">
        <f t="shared" si="42"/>
        <v>0</v>
      </c>
      <c r="GR28">
        <v>0</v>
      </c>
      <c r="GS28">
        <v>3</v>
      </c>
      <c r="GT28">
        <v>0</v>
      </c>
      <c r="GU28" t="s">
        <v>3</v>
      </c>
      <c r="GV28">
        <f t="shared" si="43"/>
        <v>0</v>
      </c>
      <c r="GW28">
        <v>1</v>
      </c>
      <c r="GX28">
        <f t="shared" si="44"/>
        <v>0</v>
      </c>
      <c r="HA28">
        <v>0</v>
      </c>
      <c r="HB28">
        <v>0</v>
      </c>
      <c r="IK28">
        <v>0</v>
      </c>
    </row>
    <row r="29" spans="1:245" x14ac:dyDescent="0.2">
      <c r="A29">
        <v>17</v>
      </c>
      <c r="B29">
        <v>1</v>
      </c>
      <c r="C29">
        <f>ROW(SmtRes!A41)</f>
        <v>41</v>
      </c>
      <c r="D29">
        <f>ROW(EtalonRes!A41)</f>
        <v>41</v>
      </c>
      <c r="E29" t="s">
        <v>49</v>
      </c>
      <c r="F29" t="s">
        <v>50</v>
      </c>
      <c r="G29" t="s">
        <v>51</v>
      </c>
      <c r="H29" t="s">
        <v>52</v>
      </c>
      <c r="I29">
        <f>' 8-гр. ЛС 1 (2)'!F84</f>
        <v>0.26</v>
      </c>
      <c r="J29">
        <v>0</v>
      </c>
      <c r="O29">
        <f t="shared" si="14"/>
        <v>17843</v>
      </c>
      <c r="P29">
        <f t="shared" si="15"/>
        <v>1547</v>
      </c>
      <c r="Q29">
        <f t="shared" si="16"/>
        <v>86</v>
      </c>
      <c r="R29">
        <f t="shared" si="17"/>
        <v>19</v>
      </c>
      <c r="S29">
        <f t="shared" si="18"/>
        <v>16210</v>
      </c>
      <c r="T29">
        <f t="shared" si="19"/>
        <v>0</v>
      </c>
      <c r="U29">
        <f t="shared" si="20"/>
        <v>24.9392</v>
      </c>
      <c r="V29">
        <f t="shared" si="21"/>
        <v>8.8400000000000006E-2</v>
      </c>
      <c r="W29">
        <f t="shared" si="22"/>
        <v>0</v>
      </c>
      <c r="X29">
        <f t="shared" si="23"/>
        <v>15418</v>
      </c>
      <c r="Y29">
        <f t="shared" si="24"/>
        <v>8926</v>
      </c>
      <c r="AA29">
        <v>27758530</v>
      </c>
      <c r="AB29">
        <f t="shared" si="25"/>
        <v>68627.320000000007</v>
      </c>
      <c r="AC29">
        <f>ROUND((SUM(SmtRes!BQ31:'SmtRes'!BQ41)),2)</f>
        <v>5950.04</v>
      </c>
      <c r="AD29">
        <f>ROUND((((SUM(SmtRes!BR31:'SmtRes'!BR41))-(SUM(SmtRes!BS31:'SmtRes'!BS41)))+AE29),2)</f>
        <v>329.28</v>
      </c>
      <c r="AE29">
        <f>ROUND((SUM(SmtRes!BS31:'SmtRes'!BS41)),2)</f>
        <v>74.42</v>
      </c>
      <c r="AF29">
        <f>ROUND((SUM(SmtRes!BT31:'SmtRes'!BT41)),2)</f>
        <v>62348</v>
      </c>
      <c r="AG29">
        <f t="shared" si="26"/>
        <v>0</v>
      </c>
      <c r="AH29">
        <f>(SUM(SmtRes!BU31:'SmtRes'!BU41))</f>
        <v>95.92</v>
      </c>
      <c r="AI29">
        <f>(SUM(SmtRes!BV31:'SmtRes'!BV41))</f>
        <v>0.34</v>
      </c>
      <c r="AJ29">
        <f t="shared" si="27"/>
        <v>0</v>
      </c>
      <c r="AK29">
        <v>68627.321905999997</v>
      </c>
      <c r="AL29">
        <f>SUM(SmtRes!AK36:'SmtRes'!AK41)</f>
        <v>5950.0421999999999</v>
      </c>
      <c r="AM29">
        <f>SUM(SmtRes!AK33:'SmtRes'!AK35)</f>
        <v>329.27980000000002</v>
      </c>
      <c r="AN29">
        <v>74.421000000000006</v>
      </c>
      <c r="AO29">
        <f>SUM(SmtRes!AK31:'SmtRes'!AK31)</f>
        <v>62348</v>
      </c>
      <c r="AP29">
        <v>0</v>
      </c>
      <c r="AQ29">
        <v>95.92</v>
      </c>
      <c r="AR29">
        <v>0.34</v>
      </c>
      <c r="AS29">
        <v>0</v>
      </c>
      <c r="AT29">
        <v>95</v>
      </c>
      <c r="AU29">
        <v>55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53</v>
      </c>
      <c r="BM29">
        <v>6001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8"/>
        <v>17843</v>
      </c>
      <c r="CQ29">
        <f t="shared" si="29"/>
        <v>5950.04</v>
      </c>
      <c r="CR29">
        <f t="shared" si="30"/>
        <v>329.28</v>
      </c>
      <c r="CS29">
        <f t="shared" si="31"/>
        <v>74.42</v>
      </c>
      <c r="CT29">
        <f t="shared" si="32"/>
        <v>62348</v>
      </c>
      <c r="CU29">
        <f t="shared" si="33"/>
        <v>0</v>
      </c>
      <c r="CV29">
        <f t="shared" si="34"/>
        <v>95.92</v>
      </c>
      <c r="CW29">
        <f t="shared" si="35"/>
        <v>0.34</v>
      </c>
      <c r="CX29">
        <f t="shared" si="36"/>
        <v>0</v>
      </c>
      <c r="CY29">
        <f t="shared" ref="CY29:CY36" si="45">(((S29+R29)*AT29)/100)</f>
        <v>15417.55</v>
      </c>
      <c r="CZ29">
        <f t="shared" ref="CZ29:CZ36" si="46">(((S29+R29)*AU29)/100)</f>
        <v>8925.9500000000007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52</v>
      </c>
      <c r="DW29" t="s">
        <v>52</v>
      </c>
      <c r="DX29">
        <v>1</v>
      </c>
      <c r="EE29">
        <v>26439569</v>
      </c>
      <c r="EF29">
        <v>2</v>
      </c>
      <c r="EG29" t="s">
        <v>19</v>
      </c>
      <c r="EH29">
        <v>0</v>
      </c>
      <c r="EI29" t="s">
        <v>3</v>
      </c>
      <c r="EJ29">
        <v>1</v>
      </c>
      <c r="EK29">
        <v>6001</v>
      </c>
      <c r="EL29" t="s">
        <v>29</v>
      </c>
      <c r="EM29" t="s">
        <v>30</v>
      </c>
      <c r="EO29" t="s">
        <v>3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95.92</v>
      </c>
      <c r="EX29">
        <v>0.34</v>
      </c>
      <c r="EY29">
        <v>0</v>
      </c>
      <c r="FQ29">
        <v>0</v>
      </c>
      <c r="FR29">
        <f t="shared" si="37"/>
        <v>0</v>
      </c>
      <c r="FS29">
        <v>0</v>
      </c>
      <c r="FT29" t="s">
        <v>22</v>
      </c>
      <c r="FU29" t="s">
        <v>23</v>
      </c>
      <c r="FX29">
        <v>94.5</v>
      </c>
      <c r="FY29">
        <v>55.25</v>
      </c>
      <c r="GA29" t="s">
        <v>3</v>
      </c>
      <c r="GD29">
        <v>0</v>
      </c>
      <c r="GF29">
        <v>1222776973</v>
      </c>
      <c r="GG29">
        <v>2</v>
      </c>
      <c r="GH29">
        <v>1</v>
      </c>
      <c r="GI29">
        <v>-2</v>
      </c>
      <c r="GJ29">
        <v>0</v>
      </c>
      <c r="GK29">
        <f>ROUND(R29*(R12)/100,0)</f>
        <v>0</v>
      </c>
      <c r="GL29">
        <f t="shared" si="38"/>
        <v>0</v>
      </c>
      <c r="GM29">
        <f t="shared" si="39"/>
        <v>42187</v>
      </c>
      <c r="GN29">
        <f t="shared" si="40"/>
        <v>42187</v>
      </c>
      <c r="GO29">
        <f t="shared" si="41"/>
        <v>0</v>
      </c>
      <c r="GP29">
        <f t="shared" si="42"/>
        <v>0</v>
      </c>
      <c r="GR29">
        <v>0</v>
      </c>
      <c r="GS29">
        <v>3</v>
      </c>
      <c r="GT29">
        <v>0</v>
      </c>
      <c r="GU29" t="s">
        <v>3</v>
      </c>
      <c r="GV29">
        <f t="shared" si="43"/>
        <v>0</v>
      </c>
      <c r="GW29">
        <v>1</v>
      </c>
      <c r="GX29">
        <f t="shared" si="44"/>
        <v>0</v>
      </c>
      <c r="HA29">
        <v>0</v>
      </c>
      <c r="HB29">
        <v>0</v>
      </c>
      <c r="IK29">
        <v>0</v>
      </c>
    </row>
    <row r="30" spans="1:245" x14ac:dyDescent="0.2">
      <c r="A30">
        <v>17</v>
      </c>
      <c r="B30">
        <v>1</v>
      </c>
      <c r="E30" t="s">
        <v>54</v>
      </c>
      <c r="F30" t="s">
        <v>55</v>
      </c>
      <c r="G30" t="s">
        <v>56</v>
      </c>
      <c r="H30" t="s">
        <v>34</v>
      </c>
      <c r="I30">
        <f>' 8-гр. ЛС 1 (2)'!F104</f>
        <v>3</v>
      </c>
      <c r="J30">
        <v>0</v>
      </c>
      <c r="O30">
        <f t="shared" si="14"/>
        <v>12230</v>
      </c>
      <c r="P30">
        <f t="shared" si="15"/>
        <v>12230</v>
      </c>
      <c r="Q30">
        <f t="shared" si="16"/>
        <v>0</v>
      </c>
      <c r="R30">
        <f t="shared" si="17"/>
        <v>0</v>
      </c>
      <c r="S30">
        <f t="shared" si="18"/>
        <v>0</v>
      </c>
      <c r="T30">
        <f t="shared" si="19"/>
        <v>0</v>
      </c>
      <c r="U30">
        <f t="shared" si="20"/>
        <v>0</v>
      </c>
      <c r="V30">
        <f t="shared" si="21"/>
        <v>0</v>
      </c>
      <c r="W30">
        <f t="shared" si="22"/>
        <v>39</v>
      </c>
      <c r="X30">
        <f t="shared" si="23"/>
        <v>0</v>
      </c>
      <c r="Y30">
        <f t="shared" si="24"/>
        <v>0</v>
      </c>
      <c r="AA30">
        <v>27758530</v>
      </c>
      <c r="AB30">
        <f t="shared" si="25"/>
        <v>4076.6</v>
      </c>
      <c r="AC30">
        <f>ROUND((ES30),2)</f>
        <v>4076.6</v>
      </c>
      <c r="AD30">
        <f>ROUND((((ET30)-(EU30))+AE30),2)</f>
        <v>0</v>
      </c>
      <c r="AE30">
        <f>ROUND((EU30),2)</f>
        <v>0</v>
      </c>
      <c r="AF30">
        <f>ROUND((EV30),2)</f>
        <v>0</v>
      </c>
      <c r="AG30">
        <f t="shared" si="26"/>
        <v>0</v>
      </c>
      <c r="AH30">
        <f>(EW30)</f>
        <v>0</v>
      </c>
      <c r="AI30">
        <f>(EX30)</f>
        <v>0</v>
      </c>
      <c r="AJ30">
        <f t="shared" si="27"/>
        <v>13.04</v>
      </c>
      <c r="AK30">
        <v>4076.6</v>
      </c>
      <c r="AL30">
        <v>4076.6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13.04</v>
      </c>
      <c r="AT30">
        <v>0</v>
      </c>
      <c r="AU30">
        <v>0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3</v>
      </c>
      <c r="BI30">
        <v>1</v>
      </c>
      <c r="BJ30" t="s">
        <v>57</v>
      </c>
      <c r="BM30">
        <v>500001</v>
      </c>
      <c r="BN30">
        <v>0</v>
      </c>
      <c r="BO30" t="s">
        <v>3</v>
      </c>
      <c r="BP30">
        <v>0</v>
      </c>
      <c r="BQ30">
        <v>8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0</v>
      </c>
      <c r="CA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28"/>
        <v>12230</v>
      </c>
      <c r="CQ30">
        <f t="shared" si="29"/>
        <v>4076.6</v>
      </c>
      <c r="CR30">
        <f t="shared" si="30"/>
        <v>0</v>
      </c>
      <c r="CS30">
        <f t="shared" si="31"/>
        <v>0</v>
      </c>
      <c r="CT30">
        <f t="shared" si="32"/>
        <v>0</v>
      </c>
      <c r="CU30">
        <f t="shared" si="33"/>
        <v>0</v>
      </c>
      <c r="CV30">
        <f t="shared" si="34"/>
        <v>0</v>
      </c>
      <c r="CW30">
        <f t="shared" si="35"/>
        <v>0</v>
      </c>
      <c r="CX30">
        <f t="shared" si="36"/>
        <v>13.04</v>
      </c>
      <c r="CY30">
        <f t="shared" si="45"/>
        <v>0</v>
      </c>
      <c r="CZ30">
        <f t="shared" si="46"/>
        <v>0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1007</v>
      </c>
      <c r="DV30" t="s">
        <v>34</v>
      </c>
      <c r="DW30" t="s">
        <v>34</v>
      </c>
      <c r="DX30">
        <v>1</v>
      </c>
      <c r="EE30">
        <v>26439515</v>
      </c>
      <c r="EF30">
        <v>8</v>
      </c>
      <c r="EG30" t="s">
        <v>36</v>
      </c>
      <c r="EH30">
        <v>0</v>
      </c>
      <c r="EI30" t="s">
        <v>3</v>
      </c>
      <c r="EJ30">
        <v>1</v>
      </c>
      <c r="EK30">
        <v>500001</v>
      </c>
      <c r="EL30" t="s">
        <v>37</v>
      </c>
      <c r="EM30" t="s">
        <v>38</v>
      </c>
      <c r="EO30" t="s">
        <v>3</v>
      </c>
      <c r="EQ30">
        <v>0</v>
      </c>
      <c r="ER30">
        <v>4076.6</v>
      </c>
      <c r="ES30">
        <v>4076.6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FQ30">
        <v>0</v>
      </c>
      <c r="FR30">
        <f t="shared" si="37"/>
        <v>0</v>
      </c>
      <c r="FS30">
        <v>0</v>
      </c>
      <c r="FX30">
        <v>0</v>
      </c>
      <c r="FY30">
        <v>0</v>
      </c>
      <c r="GA30" t="s">
        <v>3</v>
      </c>
      <c r="GD30">
        <v>0</v>
      </c>
      <c r="GE30">
        <v>1100</v>
      </c>
      <c r="GF30">
        <v>702636183</v>
      </c>
      <c r="GG30">
        <v>2</v>
      </c>
      <c r="GH30">
        <v>1</v>
      </c>
      <c r="GI30">
        <v>-2</v>
      </c>
      <c r="GJ30">
        <v>0</v>
      </c>
      <c r="GK30">
        <f>ROUND(R30*(R12)/100,0)</f>
        <v>0</v>
      </c>
      <c r="GL30">
        <f t="shared" si="38"/>
        <v>0</v>
      </c>
      <c r="GM30">
        <f t="shared" si="39"/>
        <v>12230</v>
      </c>
      <c r="GN30">
        <f t="shared" si="40"/>
        <v>12230</v>
      </c>
      <c r="GO30">
        <f t="shared" si="41"/>
        <v>0</v>
      </c>
      <c r="GP30">
        <f t="shared" si="42"/>
        <v>0</v>
      </c>
      <c r="GR30">
        <v>3</v>
      </c>
      <c r="GS30">
        <v>3</v>
      </c>
      <c r="GT30">
        <v>0</v>
      </c>
      <c r="GU30" t="s">
        <v>3</v>
      </c>
      <c r="GV30">
        <f t="shared" si="43"/>
        <v>0</v>
      </c>
      <c r="GW30">
        <v>1</v>
      </c>
      <c r="GX30">
        <f t="shared" si="44"/>
        <v>0</v>
      </c>
      <c r="HA30">
        <v>0</v>
      </c>
      <c r="HB30">
        <v>0</v>
      </c>
      <c r="IK30">
        <v>0</v>
      </c>
    </row>
    <row r="31" spans="1:245" x14ac:dyDescent="0.2">
      <c r="A31">
        <v>17</v>
      </c>
      <c r="B31">
        <v>1</v>
      </c>
      <c r="E31" t="s">
        <v>58</v>
      </c>
      <c r="F31" t="s">
        <v>59</v>
      </c>
      <c r="G31" t="s">
        <v>60</v>
      </c>
      <c r="H31" t="s">
        <v>61</v>
      </c>
      <c r="I31">
        <f>' 8-гр. ЛС 1 (2)'!F105</f>
        <v>0.03</v>
      </c>
      <c r="J31">
        <v>0</v>
      </c>
      <c r="O31">
        <f t="shared" si="14"/>
        <v>2035</v>
      </c>
      <c r="P31">
        <f t="shared" si="15"/>
        <v>2035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1</v>
      </c>
      <c r="X31">
        <f t="shared" si="23"/>
        <v>0</v>
      </c>
      <c r="Y31">
        <f t="shared" si="24"/>
        <v>0</v>
      </c>
      <c r="AA31">
        <v>27758530</v>
      </c>
      <c r="AB31">
        <f t="shared" si="25"/>
        <v>67818.78</v>
      </c>
      <c r="AC31">
        <f>ROUND((ES31),2)</f>
        <v>67818.78</v>
      </c>
      <c r="AD31">
        <f>ROUND((((ET31)-(EU31))+AE31),2)</f>
        <v>0</v>
      </c>
      <c r="AE31">
        <f>ROUND((EU31),2)</f>
        <v>0</v>
      </c>
      <c r="AF31">
        <f>ROUND((EV31),2)</f>
        <v>0</v>
      </c>
      <c r="AG31">
        <f t="shared" si="26"/>
        <v>0</v>
      </c>
      <c r="AH31">
        <f>(EW31)</f>
        <v>0</v>
      </c>
      <c r="AI31">
        <f>(EX31)</f>
        <v>0</v>
      </c>
      <c r="AJ31">
        <f t="shared" si="27"/>
        <v>38.270000000000003</v>
      </c>
      <c r="AK31">
        <v>67818.78</v>
      </c>
      <c r="AL31">
        <v>67818.78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38.270000000000003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1</v>
      </c>
      <c r="BJ31" t="s">
        <v>62</v>
      </c>
      <c r="BM31">
        <v>500001</v>
      </c>
      <c r="BN31">
        <v>0</v>
      </c>
      <c r="BO31" t="s">
        <v>3</v>
      </c>
      <c r="BP31">
        <v>0</v>
      </c>
      <c r="BQ31">
        <v>8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8"/>
        <v>2035</v>
      </c>
      <c r="CQ31">
        <f t="shared" si="29"/>
        <v>67818.78</v>
      </c>
      <c r="CR31">
        <f t="shared" si="30"/>
        <v>0</v>
      </c>
      <c r="CS31">
        <f t="shared" si="31"/>
        <v>0</v>
      </c>
      <c r="CT31">
        <f t="shared" si="32"/>
        <v>0</v>
      </c>
      <c r="CU31">
        <f t="shared" si="33"/>
        <v>0</v>
      </c>
      <c r="CV31">
        <f t="shared" si="34"/>
        <v>0</v>
      </c>
      <c r="CW31">
        <f t="shared" si="35"/>
        <v>0</v>
      </c>
      <c r="CX31">
        <f t="shared" si="36"/>
        <v>38.270000000000003</v>
      </c>
      <c r="CY31">
        <f t="shared" si="45"/>
        <v>0</v>
      </c>
      <c r="CZ31">
        <f t="shared" si="46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61</v>
      </c>
      <c r="DW31" t="s">
        <v>61</v>
      </c>
      <c r="DX31">
        <v>1000</v>
      </c>
      <c r="EE31">
        <v>26439515</v>
      </c>
      <c r="EF31">
        <v>8</v>
      </c>
      <c r="EG31" t="s">
        <v>36</v>
      </c>
      <c r="EH31">
        <v>0</v>
      </c>
      <c r="EI31" t="s">
        <v>3</v>
      </c>
      <c r="EJ31">
        <v>1</v>
      </c>
      <c r="EK31">
        <v>500001</v>
      </c>
      <c r="EL31" t="s">
        <v>37</v>
      </c>
      <c r="EM31" t="s">
        <v>38</v>
      </c>
      <c r="EO31" t="s">
        <v>3</v>
      </c>
      <c r="EQ31">
        <v>0</v>
      </c>
      <c r="ER31">
        <v>67818.78</v>
      </c>
      <c r="ES31">
        <v>67818.78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FQ31">
        <v>0</v>
      </c>
      <c r="FR31">
        <f t="shared" si="37"/>
        <v>0</v>
      </c>
      <c r="FS31">
        <v>0</v>
      </c>
      <c r="FX31">
        <v>0</v>
      </c>
      <c r="FY31">
        <v>0</v>
      </c>
      <c r="GA31" t="s">
        <v>3</v>
      </c>
      <c r="GD31">
        <v>0</v>
      </c>
      <c r="GE31">
        <v>11978</v>
      </c>
      <c r="GF31">
        <v>-1326467916</v>
      </c>
      <c r="GG31">
        <v>2</v>
      </c>
      <c r="GH31">
        <v>1</v>
      </c>
      <c r="GI31">
        <v>-2</v>
      </c>
      <c r="GJ31">
        <v>0</v>
      </c>
      <c r="GK31">
        <f>ROUND(R31*(R12)/100,0)</f>
        <v>0</v>
      </c>
      <c r="GL31">
        <f t="shared" si="38"/>
        <v>0</v>
      </c>
      <c r="GM31">
        <f t="shared" si="39"/>
        <v>2035</v>
      </c>
      <c r="GN31">
        <f t="shared" si="40"/>
        <v>2035</v>
      </c>
      <c r="GO31">
        <f t="shared" si="41"/>
        <v>0</v>
      </c>
      <c r="GP31">
        <f t="shared" si="42"/>
        <v>0</v>
      </c>
      <c r="GR31">
        <v>3</v>
      </c>
      <c r="GS31">
        <v>3</v>
      </c>
      <c r="GT31">
        <v>0</v>
      </c>
      <c r="GU31" t="s">
        <v>3</v>
      </c>
      <c r="GV31">
        <f t="shared" si="43"/>
        <v>0</v>
      </c>
      <c r="GW31">
        <v>1</v>
      </c>
      <c r="GX31">
        <f t="shared" si="44"/>
        <v>0</v>
      </c>
      <c r="HA31">
        <v>0</v>
      </c>
      <c r="HB31">
        <v>0</v>
      </c>
      <c r="IK31">
        <v>0</v>
      </c>
    </row>
    <row r="32" spans="1:245" x14ac:dyDescent="0.2">
      <c r="A32">
        <v>17</v>
      </c>
      <c r="B32">
        <v>1</v>
      </c>
      <c r="C32">
        <f>ROW(SmtRes!A50)</f>
        <v>50</v>
      </c>
      <c r="D32">
        <f>ROW(EtalonRes!A50)</f>
        <v>50</v>
      </c>
      <c r="E32" t="s">
        <v>63</v>
      </c>
      <c r="F32" t="s">
        <v>64</v>
      </c>
      <c r="G32" t="s">
        <v>65</v>
      </c>
      <c r="H32" t="s">
        <v>66</v>
      </c>
      <c r="I32">
        <f>' 8-гр. ЛС 1 (2)'!F106</f>
        <v>2.6</v>
      </c>
      <c r="J32">
        <v>0</v>
      </c>
      <c r="O32">
        <f t="shared" si="14"/>
        <v>73163</v>
      </c>
      <c r="P32">
        <f t="shared" si="15"/>
        <v>70339</v>
      </c>
      <c r="Q32">
        <f t="shared" si="16"/>
        <v>230</v>
      </c>
      <c r="R32">
        <f t="shared" si="17"/>
        <v>34</v>
      </c>
      <c r="S32">
        <f t="shared" si="18"/>
        <v>2594</v>
      </c>
      <c r="T32">
        <f t="shared" si="19"/>
        <v>0</v>
      </c>
      <c r="U32">
        <f t="shared" si="20"/>
        <v>27.3</v>
      </c>
      <c r="V32">
        <f t="shared" si="21"/>
        <v>0.156</v>
      </c>
      <c r="W32">
        <f t="shared" si="22"/>
        <v>0</v>
      </c>
      <c r="X32">
        <f t="shared" si="23"/>
        <v>3364</v>
      </c>
      <c r="Y32">
        <f t="shared" si="24"/>
        <v>2129</v>
      </c>
      <c r="AA32">
        <v>27758530</v>
      </c>
      <c r="AB32">
        <f t="shared" si="25"/>
        <v>28139.49</v>
      </c>
      <c r="AC32">
        <f>ROUND((SUM(SmtRes!BQ42:'SmtRes'!BQ50)),2)</f>
        <v>27053.55</v>
      </c>
      <c r="AD32">
        <f>ROUND((((SUM(SmtRes!BR42:'SmtRes'!BR50))-(SUM(SmtRes!BS42:'SmtRes'!BS50)))+AE32),2)</f>
        <v>88.44</v>
      </c>
      <c r="AE32">
        <f>ROUND((SUM(SmtRes!BS42:'SmtRes'!BS50)),2)</f>
        <v>13.21</v>
      </c>
      <c r="AF32">
        <f>ROUND((SUM(SmtRes!BT42:'SmtRes'!BT50)),2)</f>
        <v>997.5</v>
      </c>
      <c r="AG32">
        <f t="shared" si="26"/>
        <v>0</v>
      </c>
      <c r="AH32">
        <f>(SUM(SmtRes!BU42:'SmtRes'!BU50))</f>
        <v>10.5</v>
      </c>
      <c r="AI32">
        <f>(SUM(SmtRes!BV42:'SmtRes'!BV50))</f>
        <v>0.06</v>
      </c>
      <c r="AJ32">
        <f t="shared" si="27"/>
        <v>0</v>
      </c>
      <c r="AK32">
        <v>28139.484099999994</v>
      </c>
      <c r="AL32">
        <f>SUM(SmtRes!AK48:'SmtRes'!AK50)</f>
        <v>27053.547999999999</v>
      </c>
      <c r="AM32">
        <f>SUM(SmtRes!AK44:'SmtRes'!AK47)</f>
        <v>88.436099999999996</v>
      </c>
      <c r="AN32">
        <v>13.210800000000001</v>
      </c>
      <c r="AO32">
        <f>SUM(SmtRes!AK42:'SmtRes'!AK42)</f>
        <v>997.5</v>
      </c>
      <c r="AP32">
        <v>0</v>
      </c>
      <c r="AQ32">
        <v>10.5</v>
      </c>
      <c r="AR32">
        <v>0.06</v>
      </c>
      <c r="AS32">
        <v>0</v>
      </c>
      <c r="AT32">
        <v>128</v>
      </c>
      <c r="AU32">
        <v>81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67</v>
      </c>
      <c r="BM32">
        <v>27001</v>
      </c>
      <c r="BN32">
        <v>0</v>
      </c>
      <c r="BO32" t="s">
        <v>3</v>
      </c>
      <c r="BP32">
        <v>0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142</v>
      </c>
      <c r="CA32">
        <v>95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28"/>
        <v>73163</v>
      </c>
      <c r="CQ32">
        <f t="shared" si="29"/>
        <v>27053.55</v>
      </c>
      <c r="CR32">
        <f t="shared" si="30"/>
        <v>88.44</v>
      </c>
      <c r="CS32">
        <f t="shared" si="31"/>
        <v>13.21</v>
      </c>
      <c r="CT32">
        <f t="shared" si="32"/>
        <v>997.5</v>
      </c>
      <c r="CU32">
        <f t="shared" si="33"/>
        <v>0</v>
      </c>
      <c r="CV32">
        <f t="shared" si="34"/>
        <v>10.5</v>
      </c>
      <c r="CW32">
        <f t="shared" si="35"/>
        <v>0.06</v>
      </c>
      <c r="CX32">
        <f t="shared" si="36"/>
        <v>0</v>
      </c>
      <c r="CY32">
        <f t="shared" si="45"/>
        <v>3363.84</v>
      </c>
      <c r="CZ32">
        <f t="shared" si="46"/>
        <v>2128.6799999999998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1005</v>
      </c>
      <c r="DV32" t="s">
        <v>66</v>
      </c>
      <c r="DW32" t="s">
        <v>66</v>
      </c>
      <c r="DX32">
        <v>10</v>
      </c>
      <c r="EE32">
        <v>26439623</v>
      </c>
      <c r="EF32">
        <v>2</v>
      </c>
      <c r="EG32" t="s">
        <v>19</v>
      </c>
      <c r="EH32">
        <v>0</v>
      </c>
      <c r="EI32" t="s">
        <v>3</v>
      </c>
      <c r="EJ32">
        <v>1</v>
      </c>
      <c r="EK32">
        <v>27001</v>
      </c>
      <c r="EL32" t="s">
        <v>68</v>
      </c>
      <c r="EM32" t="s">
        <v>69</v>
      </c>
      <c r="EO32" t="s">
        <v>3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10.5</v>
      </c>
      <c r="EX32">
        <v>0.06</v>
      </c>
      <c r="EY32">
        <v>0</v>
      </c>
      <c r="FQ32">
        <v>0</v>
      </c>
      <c r="FR32">
        <f t="shared" si="37"/>
        <v>0</v>
      </c>
      <c r="FS32">
        <v>0</v>
      </c>
      <c r="FT32" t="s">
        <v>22</v>
      </c>
      <c r="FU32" t="s">
        <v>23</v>
      </c>
      <c r="FX32">
        <v>127.8</v>
      </c>
      <c r="FY32">
        <v>80.75</v>
      </c>
      <c r="GA32" t="s">
        <v>3</v>
      </c>
      <c r="GD32">
        <v>0</v>
      </c>
      <c r="GF32">
        <v>142649607</v>
      </c>
      <c r="GG32">
        <v>2</v>
      </c>
      <c r="GH32">
        <v>1</v>
      </c>
      <c r="GI32">
        <v>-2</v>
      </c>
      <c r="GJ32">
        <v>0</v>
      </c>
      <c r="GK32">
        <f>ROUND(R32*(R12)/100,0)</f>
        <v>0</v>
      </c>
      <c r="GL32">
        <f t="shared" si="38"/>
        <v>0</v>
      </c>
      <c r="GM32">
        <f t="shared" si="39"/>
        <v>78656</v>
      </c>
      <c r="GN32">
        <f t="shared" si="40"/>
        <v>78656</v>
      </c>
      <c r="GO32">
        <f t="shared" si="41"/>
        <v>0</v>
      </c>
      <c r="GP32">
        <f t="shared" si="42"/>
        <v>0</v>
      </c>
      <c r="GR32">
        <v>0</v>
      </c>
      <c r="GS32">
        <v>3</v>
      </c>
      <c r="GT32">
        <v>0</v>
      </c>
      <c r="GU32" t="s">
        <v>3</v>
      </c>
      <c r="GV32">
        <f t="shared" si="43"/>
        <v>0</v>
      </c>
      <c r="GW32">
        <v>1</v>
      </c>
      <c r="GX32">
        <f t="shared" si="44"/>
        <v>0</v>
      </c>
      <c r="HA32">
        <v>0</v>
      </c>
      <c r="HB32">
        <v>0</v>
      </c>
      <c r="IK32">
        <v>0</v>
      </c>
    </row>
    <row r="33" spans="1:245" x14ac:dyDescent="0.2">
      <c r="A33">
        <v>17</v>
      </c>
      <c r="B33">
        <v>1</v>
      </c>
      <c r="E33" t="s">
        <v>70</v>
      </c>
      <c r="F33" t="s">
        <v>71</v>
      </c>
      <c r="G33" t="s">
        <v>72</v>
      </c>
      <c r="H33" t="s">
        <v>73</v>
      </c>
      <c r="I33">
        <f>' 8-гр. ЛС 1 (2)'!F124</f>
        <v>26</v>
      </c>
      <c r="J33">
        <v>0</v>
      </c>
      <c r="O33">
        <f t="shared" si="14"/>
        <v>151840</v>
      </c>
      <c r="P33">
        <f t="shared" si="15"/>
        <v>151840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27758530</v>
      </c>
      <c r="AB33">
        <f t="shared" si="25"/>
        <v>5840</v>
      </c>
      <c r="AC33">
        <f>ROUND((ES33),2)</f>
        <v>5840</v>
      </c>
      <c r="AD33">
        <f>ROUND((((ET33)-(EU33))+AE33),2)</f>
        <v>0</v>
      </c>
      <c r="AE33">
        <f>ROUND((EU33),2)</f>
        <v>0</v>
      </c>
      <c r="AF33">
        <f>ROUND((EV33),2)</f>
        <v>0</v>
      </c>
      <c r="AG33">
        <f t="shared" si="26"/>
        <v>0</v>
      </c>
      <c r="AH33">
        <f>(EW33)</f>
        <v>0</v>
      </c>
      <c r="AI33">
        <f>(EX33)</f>
        <v>0</v>
      </c>
      <c r="AJ33">
        <f t="shared" si="27"/>
        <v>0</v>
      </c>
      <c r="AK33">
        <v>5840</v>
      </c>
      <c r="AL33">
        <v>5840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8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8"/>
        <v>151840</v>
      </c>
      <c r="CQ33">
        <f t="shared" si="29"/>
        <v>5840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45"/>
        <v>0</v>
      </c>
      <c r="CZ33">
        <f t="shared" si="46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73</v>
      </c>
      <c r="DW33" t="s">
        <v>73</v>
      </c>
      <c r="DX33">
        <v>1</v>
      </c>
      <c r="EE33">
        <v>26439762</v>
      </c>
      <c r="EF33">
        <v>8</v>
      </c>
      <c r="EG33" t="s">
        <v>36</v>
      </c>
      <c r="EH33">
        <v>0</v>
      </c>
      <c r="EI33" t="s">
        <v>3</v>
      </c>
      <c r="EJ33">
        <v>1</v>
      </c>
      <c r="EK33">
        <v>1100</v>
      </c>
      <c r="EL33" t="s">
        <v>74</v>
      </c>
      <c r="EM33" t="s">
        <v>75</v>
      </c>
      <c r="EO33" t="s">
        <v>3</v>
      </c>
      <c r="EQ33">
        <v>0</v>
      </c>
      <c r="ER33">
        <v>5840</v>
      </c>
      <c r="ES33">
        <v>5840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5840</v>
      </c>
      <c r="FQ33">
        <v>0</v>
      </c>
      <c r="FR33">
        <f t="shared" si="37"/>
        <v>0</v>
      </c>
      <c r="FS33">
        <v>0</v>
      </c>
      <c r="FX33">
        <v>0</v>
      </c>
      <c r="FY33">
        <v>0</v>
      </c>
      <c r="GA33" t="s">
        <v>76</v>
      </c>
      <c r="GD33">
        <v>0</v>
      </c>
      <c r="GF33">
        <v>-1575416519</v>
      </c>
      <c r="GG33">
        <v>2</v>
      </c>
      <c r="GH33">
        <v>3</v>
      </c>
      <c r="GI33">
        <v>-2</v>
      </c>
      <c r="GJ33">
        <v>0</v>
      </c>
      <c r="GK33">
        <f>ROUND(R33*(R12)/100,0)</f>
        <v>0</v>
      </c>
      <c r="GL33">
        <f t="shared" si="38"/>
        <v>0</v>
      </c>
      <c r="GM33">
        <f t="shared" si="39"/>
        <v>151840</v>
      </c>
      <c r="GN33">
        <f t="shared" si="40"/>
        <v>151840</v>
      </c>
      <c r="GO33">
        <f t="shared" si="41"/>
        <v>0</v>
      </c>
      <c r="GP33">
        <f t="shared" si="42"/>
        <v>0</v>
      </c>
      <c r="GR33">
        <v>1</v>
      </c>
      <c r="GS33">
        <v>1</v>
      </c>
      <c r="GT33">
        <v>0</v>
      </c>
      <c r="GU33" t="s">
        <v>3</v>
      </c>
      <c r="GV33">
        <f t="shared" si="43"/>
        <v>0</v>
      </c>
      <c r="GW33">
        <v>1</v>
      </c>
      <c r="GX33">
        <f t="shared" si="44"/>
        <v>0</v>
      </c>
      <c r="HA33">
        <v>0</v>
      </c>
      <c r="HB33">
        <v>0</v>
      </c>
      <c r="IK33">
        <v>0</v>
      </c>
    </row>
    <row r="34" spans="1:245" x14ac:dyDescent="0.2">
      <c r="A34">
        <v>17</v>
      </c>
      <c r="B34">
        <v>1</v>
      </c>
      <c r="C34">
        <f>ROW(SmtRes!A59)</f>
        <v>59</v>
      </c>
      <c r="D34">
        <f>ROW(EtalonRes!A59)</f>
        <v>59</v>
      </c>
      <c r="E34" t="s">
        <v>77</v>
      </c>
      <c r="F34" t="s">
        <v>78</v>
      </c>
      <c r="G34" t="s">
        <v>79</v>
      </c>
      <c r="H34" t="s">
        <v>80</v>
      </c>
      <c r="I34">
        <f>' 8-гр. ЛС 1 (2)'!F125</f>
        <v>0.05</v>
      </c>
      <c r="J34">
        <v>0</v>
      </c>
      <c r="O34">
        <f t="shared" si="14"/>
        <v>88992</v>
      </c>
      <c r="P34">
        <f t="shared" si="15"/>
        <v>87500</v>
      </c>
      <c r="Q34">
        <f t="shared" si="16"/>
        <v>849</v>
      </c>
      <c r="R34">
        <f t="shared" si="17"/>
        <v>316</v>
      </c>
      <c r="S34">
        <f t="shared" si="18"/>
        <v>643</v>
      </c>
      <c r="T34">
        <f t="shared" si="19"/>
        <v>0</v>
      </c>
      <c r="U34">
        <f t="shared" si="20"/>
        <v>3.6185000000000005</v>
      </c>
      <c r="V34">
        <f t="shared" si="21"/>
        <v>1.169</v>
      </c>
      <c r="W34">
        <f t="shared" si="22"/>
        <v>0</v>
      </c>
      <c r="X34">
        <f t="shared" si="23"/>
        <v>1122</v>
      </c>
      <c r="Y34">
        <f t="shared" si="24"/>
        <v>690</v>
      </c>
      <c r="AA34">
        <v>27758530</v>
      </c>
      <c r="AB34">
        <f t="shared" si="25"/>
        <v>1779839.01</v>
      </c>
      <c r="AC34">
        <f>ROUND((SUM(SmtRes!BQ51:'SmtRes'!BQ59)),2)</f>
        <v>1750000</v>
      </c>
      <c r="AD34">
        <f>ROUND((((SUM(SmtRes!BR51:'SmtRes'!BR59))-(SUM(SmtRes!BS51:'SmtRes'!BS59)))+AE34),2)</f>
        <v>16980.310000000001</v>
      </c>
      <c r="AE34">
        <f>ROUND((SUM(SmtRes!BS51:'SmtRes'!BS59)),2)</f>
        <v>6321.31</v>
      </c>
      <c r="AF34">
        <f>ROUND((SUM(SmtRes!BT51:'SmtRes'!BT59)),2)</f>
        <v>12858.7</v>
      </c>
      <c r="AG34">
        <f t="shared" si="26"/>
        <v>0</v>
      </c>
      <c r="AH34">
        <f>(SUM(SmtRes!BU51:'SmtRes'!BU59))</f>
        <v>72.37</v>
      </c>
      <c r="AI34">
        <f>(SUM(SmtRes!BV51:'SmtRes'!BV59))</f>
        <v>23.38</v>
      </c>
      <c r="AJ34">
        <f t="shared" si="27"/>
        <v>0</v>
      </c>
      <c r="AK34">
        <v>1779839.0112000001</v>
      </c>
      <c r="AL34">
        <f>SUM(SmtRes!AK58:'SmtRes'!AK59)</f>
        <v>1750000</v>
      </c>
      <c r="AM34">
        <f>SUM(SmtRes!AK53:'SmtRes'!AK57)</f>
        <v>16980.309600000001</v>
      </c>
      <c r="AN34">
        <v>6321.3138000000008</v>
      </c>
      <c r="AO34">
        <f>SUM(SmtRes!AK51:'SmtRes'!AK51)</f>
        <v>12858.7016</v>
      </c>
      <c r="AP34">
        <v>0</v>
      </c>
      <c r="AQ34">
        <v>72.37</v>
      </c>
      <c r="AR34">
        <v>23.38</v>
      </c>
      <c r="AS34">
        <v>0</v>
      </c>
      <c r="AT34">
        <v>117</v>
      </c>
      <c r="AU34">
        <v>72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81</v>
      </c>
      <c r="BM34">
        <v>7001</v>
      </c>
      <c r="BN34">
        <v>0</v>
      </c>
      <c r="BO34" t="s">
        <v>3</v>
      </c>
      <c r="BP34">
        <v>0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130</v>
      </c>
      <c r="CA34">
        <v>85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28"/>
        <v>88992</v>
      </c>
      <c r="CQ34">
        <f t="shared" si="29"/>
        <v>1750000</v>
      </c>
      <c r="CR34">
        <f t="shared" si="30"/>
        <v>16980.310000000001</v>
      </c>
      <c r="CS34">
        <f t="shared" si="31"/>
        <v>6321.31</v>
      </c>
      <c r="CT34">
        <f t="shared" si="32"/>
        <v>12858.7</v>
      </c>
      <c r="CU34">
        <f t="shared" si="33"/>
        <v>0</v>
      </c>
      <c r="CV34">
        <f t="shared" si="34"/>
        <v>72.37</v>
      </c>
      <c r="CW34">
        <f t="shared" si="35"/>
        <v>23.38</v>
      </c>
      <c r="CX34">
        <f t="shared" si="36"/>
        <v>0</v>
      </c>
      <c r="CY34">
        <f t="shared" si="45"/>
        <v>1122.03</v>
      </c>
      <c r="CZ34">
        <f t="shared" si="46"/>
        <v>690.48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80</v>
      </c>
      <c r="DW34" t="s">
        <v>80</v>
      </c>
      <c r="DX34">
        <v>1</v>
      </c>
      <c r="EE34">
        <v>26439572</v>
      </c>
      <c r="EF34">
        <v>2</v>
      </c>
      <c r="EG34" t="s">
        <v>19</v>
      </c>
      <c r="EH34">
        <v>0</v>
      </c>
      <c r="EI34" t="s">
        <v>3</v>
      </c>
      <c r="EJ34">
        <v>1</v>
      </c>
      <c r="EK34">
        <v>7001</v>
      </c>
      <c r="EL34" t="s">
        <v>82</v>
      </c>
      <c r="EM34" t="s">
        <v>83</v>
      </c>
      <c r="EO34" t="s">
        <v>3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72.37</v>
      </c>
      <c r="EX34">
        <v>23.38</v>
      </c>
      <c r="EY34">
        <v>0</v>
      </c>
      <c r="FQ34">
        <v>0</v>
      </c>
      <c r="FR34">
        <f t="shared" si="37"/>
        <v>0</v>
      </c>
      <c r="FS34">
        <v>0</v>
      </c>
      <c r="FT34" t="s">
        <v>22</v>
      </c>
      <c r="FU34" t="s">
        <v>23</v>
      </c>
      <c r="FX34">
        <v>117</v>
      </c>
      <c r="FY34">
        <v>72.25</v>
      </c>
      <c r="GA34" t="s">
        <v>3</v>
      </c>
      <c r="GD34">
        <v>0</v>
      </c>
      <c r="GF34">
        <v>1984916542</v>
      </c>
      <c r="GG34">
        <v>2</v>
      </c>
      <c r="GH34">
        <v>1</v>
      </c>
      <c r="GI34">
        <v>-2</v>
      </c>
      <c r="GJ34">
        <v>0</v>
      </c>
      <c r="GK34">
        <f>ROUND(R34*(R12)/100,0)</f>
        <v>0</v>
      </c>
      <c r="GL34">
        <f t="shared" si="38"/>
        <v>0</v>
      </c>
      <c r="GM34">
        <f t="shared" si="39"/>
        <v>90804</v>
      </c>
      <c r="GN34">
        <f t="shared" si="40"/>
        <v>90804</v>
      </c>
      <c r="GO34">
        <f t="shared" si="41"/>
        <v>0</v>
      </c>
      <c r="GP34">
        <f t="shared" si="42"/>
        <v>0</v>
      </c>
      <c r="GR34">
        <v>0</v>
      </c>
      <c r="GS34">
        <v>3</v>
      </c>
      <c r="GT34">
        <v>0</v>
      </c>
      <c r="GU34" t="s">
        <v>3</v>
      </c>
      <c r="GV34">
        <f t="shared" si="43"/>
        <v>0</v>
      </c>
      <c r="GW34">
        <v>1</v>
      </c>
      <c r="GX34">
        <f t="shared" si="44"/>
        <v>0</v>
      </c>
      <c r="HA34">
        <v>0</v>
      </c>
      <c r="HB34">
        <v>0</v>
      </c>
      <c r="IK34">
        <v>0</v>
      </c>
    </row>
    <row r="35" spans="1:245" x14ac:dyDescent="0.2">
      <c r="A35">
        <v>17</v>
      </c>
      <c r="B35">
        <v>1</v>
      </c>
      <c r="E35" t="s">
        <v>84</v>
      </c>
      <c r="F35" t="s">
        <v>71</v>
      </c>
      <c r="G35" t="s">
        <v>85</v>
      </c>
      <c r="H35" t="s">
        <v>86</v>
      </c>
      <c r="I35">
        <f>' 8-гр. ЛС 1 (2)'!F144</f>
        <v>1</v>
      </c>
      <c r="J35">
        <v>0</v>
      </c>
      <c r="O35">
        <f t="shared" si="14"/>
        <v>92700</v>
      </c>
      <c r="P35">
        <f t="shared" si="15"/>
        <v>92700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27758530</v>
      </c>
      <c r="AB35">
        <f t="shared" si="25"/>
        <v>92700</v>
      </c>
      <c r="AC35">
        <f>ROUND((ES35),2)</f>
        <v>92700</v>
      </c>
      <c r="AD35">
        <f>ROUND((((ET35)-(EU35))+AE35),2)</f>
        <v>0</v>
      </c>
      <c r="AE35">
        <f>ROUND((EU35),2)</f>
        <v>0</v>
      </c>
      <c r="AF35">
        <f>ROUND((EV35),2)</f>
        <v>0</v>
      </c>
      <c r="AG35">
        <f t="shared" si="26"/>
        <v>0</v>
      </c>
      <c r="AH35">
        <f>(EW35)</f>
        <v>0</v>
      </c>
      <c r="AI35">
        <f>(EX35)</f>
        <v>0</v>
      </c>
      <c r="AJ35">
        <f t="shared" si="27"/>
        <v>0</v>
      </c>
      <c r="AK35">
        <v>92700</v>
      </c>
      <c r="AL35">
        <v>92700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3</v>
      </c>
      <c r="BM35">
        <v>1100</v>
      </c>
      <c r="BN35">
        <v>0</v>
      </c>
      <c r="BO35" t="s">
        <v>3</v>
      </c>
      <c r="BP35">
        <v>0</v>
      </c>
      <c r="BQ35">
        <v>8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28"/>
        <v>92700</v>
      </c>
      <c r="CQ35">
        <f t="shared" si="29"/>
        <v>92700</v>
      </c>
      <c r="CR35">
        <f t="shared" si="30"/>
        <v>0</v>
      </c>
      <c r="CS35">
        <f t="shared" si="31"/>
        <v>0</v>
      </c>
      <c r="CT35">
        <f t="shared" si="32"/>
        <v>0</v>
      </c>
      <c r="CU35">
        <f t="shared" si="33"/>
        <v>0</v>
      </c>
      <c r="CV35">
        <f t="shared" si="34"/>
        <v>0</v>
      </c>
      <c r="CW35">
        <f t="shared" si="35"/>
        <v>0</v>
      </c>
      <c r="CX35">
        <f t="shared" si="36"/>
        <v>0</v>
      </c>
      <c r="CY35">
        <f t="shared" si="45"/>
        <v>0</v>
      </c>
      <c r="CZ35">
        <f t="shared" si="46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86</v>
      </c>
      <c r="DW35" t="s">
        <v>86</v>
      </c>
      <c r="DX35">
        <v>1</v>
      </c>
      <c r="EE35">
        <v>26439762</v>
      </c>
      <c r="EF35">
        <v>8</v>
      </c>
      <c r="EG35" t="s">
        <v>36</v>
      </c>
      <c r="EH35">
        <v>0</v>
      </c>
      <c r="EI35" t="s">
        <v>3</v>
      </c>
      <c r="EJ35">
        <v>1</v>
      </c>
      <c r="EK35">
        <v>1100</v>
      </c>
      <c r="EL35" t="s">
        <v>74</v>
      </c>
      <c r="EM35" t="s">
        <v>75</v>
      </c>
      <c r="EO35" t="s">
        <v>3</v>
      </c>
      <c r="EQ35">
        <v>0</v>
      </c>
      <c r="ER35">
        <v>92700</v>
      </c>
      <c r="ES35">
        <v>92700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5</v>
      </c>
      <c r="FC35">
        <v>0</v>
      </c>
      <c r="FD35">
        <v>18</v>
      </c>
      <c r="FF35">
        <v>92700</v>
      </c>
      <c r="FQ35">
        <v>0</v>
      </c>
      <c r="FR35">
        <f t="shared" si="37"/>
        <v>0</v>
      </c>
      <c r="FS35">
        <v>0</v>
      </c>
      <c r="FX35">
        <v>0</v>
      </c>
      <c r="FY35">
        <v>0</v>
      </c>
      <c r="GA35" t="s">
        <v>87</v>
      </c>
      <c r="GD35">
        <v>0</v>
      </c>
      <c r="GF35">
        <v>437655616</v>
      </c>
      <c r="GG35">
        <v>2</v>
      </c>
      <c r="GH35">
        <v>3</v>
      </c>
      <c r="GI35">
        <v>-2</v>
      </c>
      <c r="GJ35">
        <v>0</v>
      </c>
      <c r="GK35">
        <f>ROUND(R35*(R12)/100,0)</f>
        <v>0</v>
      </c>
      <c r="GL35">
        <f t="shared" si="38"/>
        <v>0</v>
      </c>
      <c r="GM35">
        <f t="shared" si="39"/>
        <v>92700</v>
      </c>
      <c r="GN35">
        <f t="shared" si="40"/>
        <v>92700</v>
      </c>
      <c r="GO35">
        <f t="shared" si="41"/>
        <v>0</v>
      </c>
      <c r="GP35">
        <f t="shared" si="42"/>
        <v>0</v>
      </c>
      <c r="GR35">
        <v>1</v>
      </c>
      <c r="GS35">
        <v>1</v>
      </c>
      <c r="GT35">
        <v>0</v>
      </c>
      <c r="GU35" t="s">
        <v>3</v>
      </c>
      <c r="GV35">
        <f t="shared" si="43"/>
        <v>0</v>
      </c>
      <c r="GW35">
        <v>1</v>
      </c>
      <c r="GX35">
        <f t="shared" si="44"/>
        <v>0</v>
      </c>
      <c r="HA35">
        <v>0</v>
      </c>
      <c r="HB35">
        <v>0</v>
      </c>
      <c r="IK35">
        <v>0</v>
      </c>
    </row>
    <row r="36" spans="1:245" x14ac:dyDescent="0.2">
      <c r="A36">
        <v>17</v>
      </c>
      <c r="B36">
        <v>1</v>
      </c>
      <c r="E36" t="s">
        <v>88</v>
      </c>
      <c r="F36" t="s">
        <v>71</v>
      </c>
      <c r="G36" t="s">
        <v>89</v>
      </c>
      <c r="H36" t="s">
        <v>86</v>
      </c>
      <c r="I36">
        <f>' 8-гр. ЛС 1 (2)'!F145</f>
        <v>4</v>
      </c>
      <c r="J36">
        <v>0</v>
      </c>
      <c r="O36">
        <f t="shared" si="14"/>
        <v>409600</v>
      </c>
      <c r="P36">
        <f t="shared" si="15"/>
        <v>409600</v>
      </c>
      <c r="Q36">
        <f t="shared" si="16"/>
        <v>0</v>
      </c>
      <c r="R36">
        <f t="shared" si="17"/>
        <v>0</v>
      </c>
      <c r="S36">
        <f t="shared" si="18"/>
        <v>0</v>
      </c>
      <c r="T36">
        <f t="shared" si="19"/>
        <v>0</v>
      </c>
      <c r="U36">
        <f t="shared" si="20"/>
        <v>0</v>
      </c>
      <c r="V36">
        <f t="shared" si="21"/>
        <v>0</v>
      </c>
      <c r="W36">
        <f t="shared" si="22"/>
        <v>0</v>
      </c>
      <c r="X36">
        <f t="shared" si="23"/>
        <v>0</v>
      </c>
      <c r="Y36">
        <f t="shared" si="24"/>
        <v>0</v>
      </c>
      <c r="AA36">
        <v>27758530</v>
      </c>
      <c r="AB36">
        <f t="shared" si="25"/>
        <v>102400</v>
      </c>
      <c r="AC36">
        <f>ROUND((ES36),2)</f>
        <v>102400</v>
      </c>
      <c r="AD36">
        <f>ROUND((((ET36)-(EU36))+AE36),2)</f>
        <v>0</v>
      </c>
      <c r="AE36">
        <f>ROUND((EU36),2)</f>
        <v>0</v>
      </c>
      <c r="AF36">
        <f>ROUND((EV36),2)</f>
        <v>0</v>
      </c>
      <c r="AG36">
        <f t="shared" si="26"/>
        <v>0</v>
      </c>
      <c r="AH36">
        <f>(EW36)</f>
        <v>0</v>
      </c>
      <c r="AI36">
        <f>(EX36)</f>
        <v>0</v>
      </c>
      <c r="AJ36">
        <f t="shared" si="27"/>
        <v>0</v>
      </c>
      <c r="AK36">
        <v>102400</v>
      </c>
      <c r="AL36">
        <v>102400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3</v>
      </c>
      <c r="BI36">
        <v>1</v>
      </c>
      <c r="BJ36" t="s">
        <v>3</v>
      </c>
      <c r="BM36">
        <v>1100</v>
      </c>
      <c r="BN36">
        <v>0</v>
      </c>
      <c r="BO36" t="s">
        <v>3</v>
      </c>
      <c r="BP36">
        <v>0</v>
      </c>
      <c r="BQ36">
        <v>8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0</v>
      </c>
      <c r="CA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28"/>
        <v>409600</v>
      </c>
      <c r="CQ36">
        <f t="shared" si="29"/>
        <v>102400</v>
      </c>
      <c r="CR36">
        <f t="shared" si="30"/>
        <v>0</v>
      </c>
      <c r="CS36">
        <f t="shared" si="31"/>
        <v>0</v>
      </c>
      <c r="CT36">
        <f t="shared" si="32"/>
        <v>0</v>
      </c>
      <c r="CU36">
        <f t="shared" si="33"/>
        <v>0</v>
      </c>
      <c r="CV36">
        <f t="shared" si="34"/>
        <v>0</v>
      </c>
      <c r="CW36">
        <f t="shared" si="35"/>
        <v>0</v>
      </c>
      <c r="CX36">
        <f t="shared" si="36"/>
        <v>0</v>
      </c>
      <c r="CY36">
        <f t="shared" si="45"/>
        <v>0</v>
      </c>
      <c r="CZ36">
        <f t="shared" si="46"/>
        <v>0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86</v>
      </c>
      <c r="DW36" t="s">
        <v>86</v>
      </c>
      <c r="DX36">
        <v>1</v>
      </c>
      <c r="EE36">
        <v>26439762</v>
      </c>
      <c r="EF36">
        <v>8</v>
      </c>
      <c r="EG36" t="s">
        <v>36</v>
      </c>
      <c r="EH36">
        <v>0</v>
      </c>
      <c r="EI36" t="s">
        <v>3</v>
      </c>
      <c r="EJ36">
        <v>1</v>
      </c>
      <c r="EK36">
        <v>1100</v>
      </c>
      <c r="EL36" t="s">
        <v>74</v>
      </c>
      <c r="EM36" t="s">
        <v>75</v>
      </c>
      <c r="EO36" t="s">
        <v>3</v>
      </c>
      <c r="EQ36">
        <v>0</v>
      </c>
      <c r="ER36">
        <v>102400</v>
      </c>
      <c r="ES36">
        <v>102400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5</v>
      </c>
      <c r="FC36">
        <v>0</v>
      </c>
      <c r="FD36">
        <v>18</v>
      </c>
      <c r="FF36">
        <v>102400</v>
      </c>
      <c r="FQ36">
        <v>0</v>
      </c>
      <c r="FR36">
        <f t="shared" si="37"/>
        <v>0</v>
      </c>
      <c r="FS36">
        <v>0</v>
      </c>
      <c r="FX36">
        <v>0</v>
      </c>
      <c r="FY36">
        <v>0</v>
      </c>
      <c r="GA36" t="s">
        <v>90</v>
      </c>
      <c r="GD36">
        <v>0</v>
      </c>
      <c r="GF36">
        <v>-1502289522</v>
      </c>
      <c r="GG36">
        <v>2</v>
      </c>
      <c r="GH36">
        <v>3</v>
      </c>
      <c r="GI36">
        <v>-2</v>
      </c>
      <c r="GJ36">
        <v>0</v>
      </c>
      <c r="GK36">
        <f>ROUND(R36*(R12)/100,0)</f>
        <v>0</v>
      </c>
      <c r="GL36">
        <f t="shared" si="38"/>
        <v>0</v>
      </c>
      <c r="GM36">
        <f t="shared" si="39"/>
        <v>409600</v>
      </c>
      <c r="GN36">
        <f t="shared" si="40"/>
        <v>409600</v>
      </c>
      <c r="GO36">
        <f t="shared" si="41"/>
        <v>0</v>
      </c>
      <c r="GP36">
        <f t="shared" si="42"/>
        <v>0</v>
      </c>
      <c r="GR36">
        <v>1</v>
      </c>
      <c r="GS36">
        <v>1</v>
      </c>
      <c r="GT36">
        <v>0</v>
      </c>
      <c r="GU36" t="s">
        <v>3</v>
      </c>
      <c r="GV36">
        <f t="shared" si="43"/>
        <v>0</v>
      </c>
      <c r="GW36">
        <v>1</v>
      </c>
      <c r="GX36">
        <f t="shared" si="44"/>
        <v>0</v>
      </c>
      <c r="HA36">
        <v>0</v>
      </c>
      <c r="HB36">
        <v>0</v>
      </c>
      <c r="IK36">
        <v>0</v>
      </c>
    </row>
    <row r="37" spans="1:245" x14ac:dyDescent="0.2">
      <c r="A37">
        <v>17</v>
      </c>
      <c r="B37">
        <v>1</v>
      </c>
      <c r="C37">
        <f>ROW(SmtRes!A60)</f>
        <v>60</v>
      </c>
      <c r="D37">
        <f>ROW(EtalonRes!A60)</f>
        <v>60</v>
      </c>
      <c r="E37" t="s">
        <v>91</v>
      </c>
      <c r="F37" t="s">
        <v>42</v>
      </c>
      <c r="G37" t="s">
        <v>92</v>
      </c>
      <c r="H37" t="s">
        <v>44</v>
      </c>
      <c r="I37">
        <f>' 8-гр. ЛС 1 (2)'!F146</f>
        <v>6</v>
      </c>
      <c r="J37">
        <v>0</v>
      </c>
      <c r="O37">
        <f t="shared" si="14"/>
        <v>15162</v>
      </c>
      <c r="P37">
        <f t="shared" si="15"/>
        <v>0</v>
      </c>
      <c r="Q37">
        <f t="shared" si="16"/>
        <v>15162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27758530</v>
      </c>
      <c r="AB37">
        <f t="shared" si="25"/>
        <v>2527</v>
      </c>
      <c r="AC37">
        <f>ROUND((0),2)</f>
        <v>0</v>
      </c>
      <c r="AD37">
        <f>ROUND((((SUM(SmtRes!BR60:'SmtRes'!BR60))-(0))+AE37),2)</f>
        <v>2527</v>
      </c>
      <c r="AE37">
        <f t="shared" ref="AE37:AF39" si="47">ROUND((0),2)</f>
        <v>0</v>
      </c>
      <c r="AF37">
        <f t="shared" si="47"/>
        <v>0</v>
      </c>
      <c r="AG37">
        <f t="shared" si="26"/>
        <v>0</v>
      </c>
      <c r="AH37">
        <f>(0)</f>
        <v>0</v>
      </c>
      <c r="AI37">
        <f>(0)</f>
        <v>0</v>
      </c>
      <c r="AJ37">
        <f t="shared" si="27"/>
        <v>0</v>
      </c>
      <c r="AK37">
        <v>2527</v>
      </c>
      <c r="AL37">
        <v>0</v>
      </c>
      <c r="AM37">
        <f>SUM(SmtRes!AK60:'SmtRes'!AK60)</f>
        <v>2527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45</v>
      </c>
      <c r="BM37">
        <v>700005</v>
      </c>
      <c r="BN37">
        <v>0</v>
      </c>
      <c r="BO37" t="s">
        <v>3</v>
      </c>
      <c r="BP37">
        <v>0</v>
      </c>
      <c r="BQ37">
        <v>10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28"/>
        <v>15162</v>
      </c>
      <c r="CQ37">
        <f t="shared" si="29"/>
        <v>0</v>
      </c>
      <c r="CR37">
        <f t="shared" si="30"/>
        <v>2527</v>
      </c>
      <c r="CS37">
        <f t="shared" si="31"/>
        <v>0</v>
      </c>
      <c r="CT37">
        <f t="shared" si="32"/>
        <v>0</v>
      </c>
      <c r="CU37">
        <f t="shared" si="33"/>
        <v>0</v>
      </c>
      <c r="CV37">
        <f t="shared" si="34"/>
        <v>0</v>
      </c>
      <c r="CW37">
        <f t="shared" si="35"/>
        <v>0</v>
      </c>
      <c r="CX37">
        <f t="shared" si="36"/>
        <v>0</v>
      </c>
      <c r="CY37">
        <f>0</f>
        <v>0</v>
      </c>
      <c r="CZ37">
        <f>0</f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44</v>
      </c>
      <c r="DW37" t="s">
        <v>44</v>
      </c>
      <c r="DX37">
        <v>1</v>
      </c>
      <c r="EE37">
        <v>26439774</v>
      </c>
      <c r="EF37">
        <v>10</v>
      </c>
      <c r="EG37" t="s">
        <v>46</v>
      </c>
      <c r="EH37">
        <v>0</v>
      </c>
      <c r="EI37" t="s">
        <v>3</v>
      </c>
      <c r="EJ37">
        <v>1</v>
      </c>
      <c r="EK37">
        <v>700005</v>
      </c>
      <c r="EL37" t="s">
        <v>47</v>
      </c>
      <c r="EM37" t="s">
        <v>48</v>
      </c>
      <c r="EO37" t="s">
        <v>3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FQ37">
        <v>0</v>
      </c>
      <c r="FR37">
        <f t="shared" si="37"/>
        <v>0</v>
      </c>
      <c r="FS37">
        <v>0</v>
      </c>
      <c r="FX37">
        <v>0</v>
      </c>
      <c r="FY37">
        <v>0</v>
      </c>
      <c r="GA37" t="s">
        <v>3</v>
      </c>
      <c r="GD37">
        <v>0</v>
      </c>
      <c r="GF37">
        <v>-945611118</v>
      </c>
      <c r="GG37">
        <v>2</v>
      </c>
      <c r="GH37">
        <v>1</v>
      </c>
      <c r="GI37">
        <v>-2</v>
      </c>
      <c r="GJ37">
        <v>0</v>
      </c>
      <c r="GK37">
        <f>ROUND(R37*(R12)/100,0)</f>
        <v>0</v>
      </c>
      <c r="GL37">
        <f t="shared" si="38"/>
        <v>0</v>
      </c>
      <c r="GM37">
        <f t="shared" si="39"/>
        <v>15162</v>
      </c>
      <c r="GN37">
        <f t="shared" si="40"/>
        <v>15162</v>
      </c>
      <c r="GO37">
        <f t="shared" si="41"/>
        <v>0</v>
      </c>
      <c r="GP37">
        <f t="shared" si="42"/>
        <v>0</v>
      </c>
      <c r="GR37">
        <v>0</v>
      </c>
      <c r="GS37">
        <v>3</v>
      </c>
      <c r="GT37">
        <v>0</v>
      </c>
      <c r="GU37" t="s">
        <v>3</v>
      </c>
      <c r="GV37">
        <f t="shared" si="43"/>
        <v>0</v>
      </c>
      <c r="GW37">
        <v>1</v>
      </c>
      <c r="GX37">
        <f t="shared" si="44"/>
        <v>0</v>
      </c>
      <c r="HA37">
        <v>0</v>
      </c>
      <c r="HB37">
        <v>0</v>
      </c>
      <c r="IK37">
        <v>0</v>
      </c>
    </row>
    <row r="38" spans="1:245" x14ac:dyDescent="0.2">
      <c r="A38">
        <v>17</v>
      </c>
      <c r="B38">
        <v>1</v>
      </c>
      <c r="C38">
        <f>ROW(SmtRes!A61)</f>
        <v>61</v>
      </c>
      <c r="D38">
        <f>ROW(EtalonRes!A61)</f>
        <v>61</v>
      </c>
      <c r="E38" t="s">
        <v>93</v>
      </c>
      <c r="F38" t="s">
        <v>42</v>
      </c>
      <c r="G38" t="s">
        <v>94</v>
      </c>
      <c r="H38" t="s">
        <v>44</v>
      </c>
      <c r="I38">
        <f>' 8-гр. ЛС 1 (2)'!F153</f>
        <v>13</v>
      </c>
      <c r="J38">
        <v>0</v>
      </c>
      <c r="O38">
        <f t="shared" si="14"/>
        <v>32851</v>
      </c>
      <c r="P38">
        <f t="shared" si="15"/>
        <v>0</v>
      </c>
      <c r="Q38">
        <f t="shared" si="16"/>
        <v>32851</v>
      </c>
      <c r="R38">
        <f t="shared" si="17"/>
        <v>0</v>
      </c>
      <c r="S38">
        <f t="shared" si="18"/>
        <v>0</v>
      </c>
      <c r="T38">
        <f t="shared" si="19"/>
        <v>0</v>
      </c>
      <c r="U38">
        <f t="shared" si="20"/>
        <v>0</v>
      </c>
      <c r="V38">
        <f t="shared" si="21"/>
        <v>0</v>
      </c>
      <c r="W38">
        <f t="shared" si="22"/>
        <v>0</v>
      </c>
      <c r="X38">
        <f t="shared" si="23"/>
        <v>0</v>
      </c>
      <c r="Y38">
        <f t="shared" si="24"/>
        <v>0</v>
      </c>
      <c r="AA38">
        <v>27758530</v>
      </c>
      <c r="AB38">
        <f t="shared" si="25"/>
        <v>2527</v>
      </c>
      <c r="AC38">
        <f>ROUND((0),2)</f>
        <v>0</v>
      </c>
      <c r="AD38">
        <f>ROUND((((SUM(SmtRes!BR61:'SmtRes'!BR61))-(0))+AE38),2)</f>
        <v>2527</v>
      </c>
      <c r="AE38">
        <f t="shared" si="47"/>
        <v>0</v>
      </c>
      <c r="AF38">
        <f t="shared" si="47"/>
        <v>0</v>
      </c>
      <c r="AG38">
        <f t="shared" si="26"/>
        <v>0</v>
      </c>
      <c r="AH38">
        <f>(0)</f>
        <v>0</v>
      </c>
      <c r="AI38">
        <f>(0)</f>
        <v>0</v>
      </c>
      <c r="AJ38">
        <f t="shared" si="27"/>
        <v>0</v>
      </c>
      <c r="AK38">
        <v>2527</v>
      </c>
      <c r="AL38">
        <v>0</v>
      </c>
      <c r="AM38">
        <f>SUM(SmtRes!AK61:'SmtRes'!AK61)</f>
        <v>2527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1</v>
      </c>
      <c r="BJ38" t="s">
        <v>45</v>
      </c>
      <c r="BM38">
        <v>700005</v>
      </c>
      <c r="BN38">
        <v>0</v>
      </c>
      <c r="BO38" t="s">
        <v>3</v>
      </c>
      <c r="BP38">
        <v>0</v>
      </c>
      <c r="BQ38">
        <v>10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0</v>
      </c>
      <c r="CA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28"/>
        <v>32851</v>
      </c>
      <c r="CQ38">
        <f t="shared" si="29"/>
        <v>0</v>
      </c>
      <c r="CR38">
        <f t="shared" si="30"/>
        <v>2527</v>
      </c>
      <c r="CS38">
        <f t="shared" si="31"/>
        <v>0</v>
      </c>
      <c r="CT38">
        <f t="shared" si="32"/>
        <v>0</v>
      </c>
      <c r="CU38">
        <f t="shared" si="33"/>
        <v>0</v>
      </c>
      <c r="CV38">
        <f t="shared" si="34"/>
        <v>0</v>
      </c>
      <c r="CW38">
        <f t="shared" si="35"/>
        <v>0</v>
      </c>
      <c r="CX38">
        <f t="shared" si="36"/>
        <v>0</v>
      </c>
      <c r="CY38">
        <f>0</f>
        <v>0</v>
      </c>
      <c r="CZ38">
        <f>0</f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1013</v>
      </c>
      <c r="DV38" t="s">
        <v>44</v>
      </c>
      <c r="DW38" t="s">
        <v>44</v>
      </c>
      <c r="DX38">
        <v>1</v>
      </c>
      <c r="EE38">
        <v>26439774</v>
      </c>
      <c r="EF38">
        <v>10</v>
      </c>
      <c r="EG38" t="s">
        <v>46</v>
      </c>
      <c r="EH38">
        <v>0</v>
      </c>
      <c r="EI38" t="s">
        <v>3</v>
      </c>
      <c r="EJ38">
        <v>1</v>
      </c>
      <c r="EK38">
        <v>700005</v>
      </c>
      <c r="EL38" t="s">
        <v>47</v>
      </c>
      <c r="EM38" t="s">
        <v>48</v>
      </c>
      <c r="EO38" t="s">
        <v>3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FQ38">
        <v>0</v>
      </c>
      <c r="FR38">
        <f t="shared" si="37"/>
        <v>0</v>
      </c>
      <c r="FS38">
        <v>0</v>
      </c>
      <c r="FX38">
        <v>0</v>
      </c>
      <c r="FY38">
        <v>0</v>
      </c>
      <c r="GA38" t="s">
        <v>3</v>
      </c>
      <c r="GD38">
        <v>0</v>
      </c>
      <c r="GF38">
        <v>1776828677</v>
      </c>
      <c r="GG38">
        <v>2</v>
      </c>
      <c r="GH38">
        <v>1</v>
      </c>
      <c r="GI38">
        <v>-2</v>
      </c>
      <c r="GJ38">
        <v>0</v>
      </c>
      <c r="GK38">
        <f>ROUND(R38*(R12)/100,0)</f>
        <v>0</v>
      </c>
      <c r="GL38">
        <f t="shared" si="38"/>
        <v>0</v>
      </c>
      <c r="GM38">
        <f t="shared" si="39"/>
        <v>32851</v>
      </c>
      <c r="GN38">
        <f t="shared" si="40"/>
        <v>32851</v>
      </c>
      <c r="GO38">
        <f t="shared" si="41"/>
        <v>0</v>
      </c>
      <c r="GP38">
        <f t="shared" si="42"/>
        <v>0</v>
      </c>
      <c r="GR38">
        <v>0</v>
      </c>
      <c r="GS38">
        <v>3</v>
      </c>
      <c r="GT38">
        <v>0</v>
      </c>
      <c r="GU38" t="s">
        <v>3</v>
      </c>
      <c r="GV38">
        <f t="shared" si="43"/>
        <v>0</v>
      </c>
      <c r="GW38">
        <v>1</v>
      </c>
      <c r="GX38">
        <f t="shared" si="44"/>
        <v>0</v>
      </c>
      <c r="HA38">
        <v>0</v>
      </c>
      <c r="HB38">
        <v>0</v>
      </c>
      <c r="IK38">
        <v>0</v>
      </c>
    </row>
    <row r="39" spans="1:245" x14ac:dyDescent="0.2">
      <c r="A39">
        <v>17</v>
      </c>
      <c r="B39">
        <v>1</v>
      </c>
      <c r="C39">
        <f>ROW(SmtRes!A62)</f>
        <v>62</v>
      </c>
      <c r="D39">
        <f>ROW(EtalonRes!A62)</f>
        <v>62</v>
      </c>
      <c r="E39" t="s">
        <v>95</v>
      </c>
      <c r="F39" t="s">
        <v>42</v>
      </c>
      <c r="G39" t="s">
        <v>96</v>
      </c>
      <c r="H39" t="s">
        <v>44</v>
      </c>
      <c r="I39">
        <f>' 8-гр. ЛС 1 (2)'!F160</f>
        <v>4</v>
      </c>
      <c r="J39">
        <v>0</v>
      </c>
      <c r="O39">
        <f t="shared" si="14"/>
        <v>10108</v>
      </c>
      <c r="P39">
        <f t="shared" si="15"/>
        <v>0</v>
      </c>
      <c r="Q39">
        <f t="shared" si="16"/>
        <v>10108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27758530</v>
      </c>
      <c r="AB39">
        <f t="shared" si="25"/>
        <v>2527</v>
      </c>
      <c r="AC39">
        <f>ROUND((0),2)</f>
        <v>0</v>
      </c>
      <c r="AD39">
        <f>ROUND((((SUM(SmtRes!BR62:'SmtRes'!BR62))-(0))+AE39),2)</f>
        <v>2527</v>
      </c>
      <c r="AE39">
        <f t="shared" si="47"/>
        <v>0</v>
      </c>
      <c r="AF39">
        <f t="shared" si="47"/>
        <v>0</v>
      </c>
      <c r="AG39">
        <f t="shared" si="26"/>
        <v>0</v>
      </c>
      <c r="AH39">
        <f>(0)</f>
        <v>0</v>
      </c>
      <c r="AI39">
        <f>(0)</f>
        <v>0</v>
      </c>
      <c r="AJ39">
        <f t="shared" si="27"/>
        <v>0</v>
      </c>
      <c r="AK39">
        <v>2527</v>
      </c>
      <c r="AL39">
        <v>0</v>
      </c>
      <c r="AM39">
        <f>SUM(SmtRes!AK62:'SmtRes'!AK62)</f>
        <v>2527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45</v>
      </c>
      <c r="BM39">
        <v>700005</v>
      </c>
      <c r="BN39">
        <v>0</v>
      </c>
      <c r="BO39" t="s">
        <v>3</v>
      </c>
      <c r="BP39">
        <v>0</v>
      </c>
      <c r="BQ39">
        <v>10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28"/>
        <v>10108</v>
      </c>
      <c r="CQ39">
        <f t="shared" si="29"/>
        <v>0</v>
      </c>
      <c r="CR39">
        <f t="shared" si="30"/>
        <v>2527</v>
      </c>
      <c r="CS39">
        <f t="shared" si="31"/>
        <v>0</v>
      </c>
      <c r="CT39">
        <f t="shared" si="32"/>
        <v>0</v>
      </c>
      <c r="CU39">
        <f t="shared" si="33"/>
        <v>0</v>
      </c>
      <c r="CV39">
        <f t="shared" si="34"/>
        <v>0</v>
      </c>
      <c r="CW39">
        <f t="shared" si="35"/>
        <v>0</v>
      </c>
      <c r="CX39">
        <f t="shared" si="36"/>
        <v>0</v>
      </c>
      <c r="CY39">
        <f>0</f>
        <v>0</v>
      </c>
      <c r="CZ39">
        <f>0</f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44</v>
      </c>
      <c r="DW39" t="s">
        <v>44</v>
      </c>
      <c r="DX39">
        <v>1</v>
      </c>
      <c r="EE39">
        <v>26439774</v>
      </c>
      <c r="EF39">
        <v>10</v>
      </c>
      <c r="EG39" t="s">
        <v>46</v>
      </c>
      <c r="EH39">
        <v>0</v>
      </c>
      <c r="EI39" t="s">
        <v>3</v>
      </c>
      <c r="EJ39">
        <v>1</v>
      </c>
      <c r="EK39">
        <v>700005</v>
      </c>
      <c r="EL39" t="s">
        <v>47</v>
      </c>
      <c r="EM39" t="s">
        <v>48</v>
      </c>
      <c r="EO39" t="s">
        <v>3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FQ39">
        <v>0</v>
      </c>
      <c r="FR39">
        <f t="shared" si="37"/>
        <v>0</v>
      </c>
      <c r="FS39">
        <v>0</v>
      </c>
      <c r="FX39">
        <v>0</v>
      </c>
      <c r="FY39">
        <v>0</v>
      </c>
      <c r="GA39" t="s">
        <v>3</v>
      </c>
      <c r="GD39">
        <v>0</v>
      </c>
      <c r="GF39">
        <v>624324050</v>
      </c>
      <c r="GG39">
        <v>2</v>
      </c>
      <c r="GH39">
        <v>1</v>
      </c>
      <c r="GI39">
        <v>-2</v>
      </c>
      <c r="GJ39">
        <v>0</v>
      </c>
      <c r="GK39">
        <f>ROUND(R39*(R12)/100,0)</f>
        <v>0</v>
      </c>
      <c r="GL39">
        <f t="shared" si="38"/>
        <v>0</v>
      </c>
      <c r="GM39">
        <f t="shared" si="39"/>
        <v>10108</v>
      </c>
      <c r="GN39">
        <f t="shared" si="40"/>
        <v>10108</v>
      </c>
      <c r="GO39">
        <f t="shared" si="41"/>
        <v>0</v>
      </c>
      <c r="GP39">
        <f t="shared" si="42"/>
        <v>0</v>
      </c>
      <c r="GR39">
        <v>0</v>
      </c>
      <c r="GS39">
        <v>3</v>
      </c>
      <c r="GT39">
        <v>0</v>
      </c>
      <c r="GU39" t="s">
        <v>3</v>
      </c>
      <c r="GV39">
        <f t="shared" si="43"/>
        <v>0</v>
      </c>
      <c r="GW39">
        <v>1</v>
      </c>
      <c r="GX39">
        <f t="shared" si="44"/>
        <v>0</v>
      </c>
      <c r="HA39">
        <v>0</v>
      </c>
      <c r="HB39">
        <v>0</v>
      </c>
      <c r="IK39">
        <v>0</v>
      </c>
    </row>
    <row r="40" spans="1:245" x14ac:dyDescent="0.2">
      <c r="A40">
        <v>17</v>
      </c>
      <c r="B40">
        <v>1</v>
      </c>
      <c r="E40" t="s">
        <v>97</v>
      </c>
      <c r="F40" t="s">
        <v>98</v>
      </c>
      <c r="G40" t="s">
        <v>99</v>
      </c>
      <c r="H40" t="s">
        <v>86</v>
      </c>
      <c r="I40">
        <f>' 8-гр. ЛС 1 (2)'!F167</f>
        <v>1</v>
      </c>
      <c r="J40">
        <v>0</v>
      </c>
      <c r="O40">
        <f t="shared" si="14"/>
        <v>170000</v>
      </c>
      <c r="P40">
        <f t="shared" si="15"/>
        <v>170000</v>
      </c>
      <c r="Q40">
        <f t="shared" si="16"/>
        <v>0</v>
      </c>
      <c r="R40">
        <f t="shared" si="17"/>
        <v>0</v>
      </c>
      <c r="S40">
        <f t="shared" si="18"/>
        <v>0</v>
      </c>
      <c r="T40">
        <f t="shared" si="19"/>
        <v>0</v>
      </c>
      <c r="U40">
        <f t="shared" si="20"/>
        <v>0</v>
      </c>
      <c r="V40">
        <f t="shared" si="21"/>
        <v>0</v>
      </c>
      <c r="W40">
        <f t="shared" si="22"/>
        <v>0</v>
      </c>
      <c r="X40">
        <f t="shared" si="23"/>
        <v>0</v>
      </c>
      <c r="Y40">
        <f t="shared" si="24"/>
        <v>0</v>
      </c>
      <c r="AA40">
        <v>27758530</v>
      </c>
      <c r="AB40">
        <f t="shared" si="25"/>
        <v>170000</v>
      </c>
      <c r="AC40">
        <f>ROUND((ES40),2)</f>
        <v>170000</v>
      </c>
      <c r="AD40">
        <f>ROUND((((ET40)-(EU40))+AE40),2)</f>
        <v>0</v>
      </c>
      <c r="AE40">
        <f>ROUND((EU40),2)</f>
        <v>0</v>
      </c>
      <c r="AF40">
        <f>ROUND((EV40),2)</f>
        <v>0</v>
      </c>
      <c r="AG40">
        <f t="shared" si="26"/>
        <v>0</v>
      </c>
      <c r="AH40">
        <f>(EW40)</f>
        <v>0</v>
      </c>
      <c r="AI40">
        <f>(EX40)</f>
        <v>0</v>
      </c>
      <c r="AJ40">
        <f t="shared" si="27"/>
        <v>0</v>
      </c>
      <c r="AK40">
        <v>170000</v>
      </c>
      <c r="AL40">
        <v>170000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1</v>
      </c>
      <c r="BJ40" t="s">
        <v>3</v>
      </c>
      <c r="BM40">
        <v>1100</v>
      </c>
      <c r="BN40">
        <v>0</v>
      </c>
      <c r="BO40" t="s">
        <v>3</v>
      </c>
      <c r="BP40">
        <v>0</v>
      </c>
      <c r="BQ40">
        <v>8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0</v>
      </c>
      <c r="CA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28"/>
        <v>170000</v>
      </c>
      <c r="CQ40">
        <f t="shared" si="29"/>
        <v>170000</v>
      </c>
      <c r="CR40">
        <f t="shared" si="30"/>
        <v>0</v>
      </c>
      <c r="CS40">
        <f t="shared" si="31"/>
        <v>0</v>
      </c>
      <c r="CT40">
        <f t="shared" si="32"/>
        <v>0</v>
      </c>
      <c r="CU40">
        <f t="shared" si="33"/>
        <v>0</v>
      </c>
      <c r="CV40">
        <f t="shared" si="34"/>
        <v>0</v>
      </c>
      <c r="CW40">
        <f t="shared" si="35"/>
        <v>0</v>
      </c>
      <c r="CX40">
        <f t="shared" si="36"/>
        <v>0</v>
      </c>
      <c r="CY40">
        <f>(((S40+R40)*AT40)/100)</f>
        <v>0</v>
      </c>
      <c r="CZ40">
        <f>(((S40+R40)*AU40)/100)</f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86</v>
      </c>
      <c r="DW40" t="s">
        <v>86</v>
      </c>
      <c r="DX40">
        <v>1</v>
      </c>
      <c r="EE40">
        <v>26439762</v>
      </c>
      <c r="EF40">
        <v>8</v>
      </c>
      <c r="EG40" t="s">
        <v>36</v>
      </c>
      <c r="EH40">
        <v>0</v>
      </c>
      <c r="EI40" t="s">
        <v>3</v>
      </c>
      <c r="EJ40">
        <v>1</v>
      </c>
      <c r="EK40">
        <v>1100</v>
      </c>
      <c r="EL40" t="s">
        <v>74</v>
      </c>
      <c r="EM40" t="s">
        <v>75</v>
      </c>
      <c r="EO40" t="s">
        <v>3</v>
      </c>
      <c r="EQ40">
        <v>0</v>
      </c>
      <c r="ER40">
        <v>170000</v>
      </c>
      <c r="ES40">
        <v>170000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5</v>
      </c>
      <c r="FC40">
        <v>0</v>
      </c>
      <c r="FD40">
        <v>18</v>
      </c>
      <c r="FF40">
        <v>170000</v>
      </c>
      <c r="FQ40">
        <v>0</v>
      </c>
      <c r="FR40">
        <f t="shared" si="37"/>
        <v>0</v>
      </c>
      <c r="FS40">
        <v>0</v>
      </c>
      <c r="FX40">
        <v>0</v>
      </c>
      <c r="FY40">
        <v>0</v>
      </c>
      <c r="GA40" t="s">
        <v>100</v>
      </c>
      <c r="GD40">
        <v>0</v>
      </c>
      <c r="GF40">
        <v>-1293851590</v>
      </c>
      <c r="GG40">
        <v>2</v>
      </c>
      <c r="GH40">
        <v>3</v>
      </c>
      <c r="GI40">
        <v>-2</v>
      </c>
      <c r="GJ40">
        <v>0</v>
      </c>
      <c r="GK40">
        <f>ROUND(R40*(R12)/100,0)</f>
        <v>0</v>
      </c>
      <c r="GL40">
        <f t="shared" si="38"/>
        <v>0</v>
      </c>
      <c r="GM40">
        <f t="shared" si="39"/>
        <v>170000</v>
      </c>
      <c r="GN40">
        <f t="shared" si="40"/>
        <v>170000</v>
      </c>
      <c r="GO40">
        <f t="shared" si="41"/>
        <v>0</v>
      </c>
      <c r="GP40">
        <f t="shared" si="42"/>
        <v>0</v>
      </c>
      <c r="GR40">
        <v>1</v>
      </c>
      <c r="GS40">
        <v>1</v>
      </c>
      <c r="GT40">
        <v>0</v>
      </c>
      <c r="GU40" t="s">
        <v>3</v>
      </c>
      <c r="GV40">
        <f t="shared" si="43"/>
        <v>0</v>
      </c>
      <c r="GW40">
        <v>1</v>
      </c>
      <c r="GX40">
        <f t="shared" si="44"/>
        <v>0</v>
      </c>
      <c r="HA40">
        <v>0</v>
      </c>
      <c r="HB40">
        <v>0</v>
      </c>
      <c r="IK40">
        <v>0</v>
      </c>
    </row>
    <row r="41" spans="1:245" x14ac:dyDescent="0.2">
      <c r="A41">
        <v>17</v>
      </c>
      <c r="B41">
        <v>1</v>
      </c>
      <c r="E41" t="s">
        <v>101</v>
      </c>
      <c r="F41" t="s">
        <v>102</v>
      </c>
      <c r="G41" t="s">
        <v>103</v>
      </c>
      <c r="H41" t="s">
        <v>86</v>
      </c>
      <c r="I41">
        <f>' 8-гр. ЛС 1 (2)'!F168</f>
        <v>1200</v>
      </c>
      <c r="J41">
        <v>0</v>
      </c>
      <c r="O41">
        <f t="shared" si="14"/>
        <v>180000</v>
      </c>
      <c r="P41">
        <f t="shared" si="15"/>
        <v>180000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27758530</v>
      </c>
      <c r="AB41">
        <f t="shared" si="25"/>
        <v>150</v>
      </c>
      <c r="AC41">
        <f>ROUND((ES41),2)</f>
        <v>150</v>
      </c>
      <c r="AD41">
        <f>ROUND((((ET41)-(EU41))+AE41),2)</f>
        <v>0</v>
      </c>
      <c r="AE41">
        <f>ROUND((EU41),2)</f>
        <v>0</v>
      </c>
      <c r="AF41">
        <f>ROUND((EV41),2)</f>
        <v>0</v>
      </c>
      <c r="AG41">
        <f t="shared" si="26"/>
        <v>0</v>
      </c>
      <c r="AH41">
        <f>(EW41)</f>
        <v>0</v>
      </c>
      <c r="AI41">
        <f>(EX41)</f>
        <v>0</v>
      </c>
      <c r="AJ41">
        <f t="shared" si="27"/>
        <v>0</v>
      </c>
      <c r="AK41">
        <v>150</v>
      </c>
      <c r="AL41">
        <v>150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1</v>
      </c>
      <c r="BJ41" t="s">
        <v>3</v>
      </c>
      <c r="BM41">
        <v>1100</v>
      </c>
      <c r="BN41">
        <v>0</v>
      </c>
      <c r="BO41" t="s">
        <v>3</v>
      </c>
      <c r="BP41">
        <v>0</v>
      </c>
      <c r="BQ41">
        <v>8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28"/>
        <v>180000</v>
      </c>
      <c r="CQ41">
        <f t="shared" si="29"/>
        <v>150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33"/>
        <v>0</v>
      </c>
      <c r="CV41">
        <f t="shared" si="34"/>
        <v>0</v>
      </c>
      <c r="CW41">
        <f t="shared" si="35"/>
        <v>0</v>
      </c>
      <c r="CX41">
        <f t="shared" si="36"/>
        <v>0</v>
      </c>
      <c r="CY41">
        <f>(((S41+R41)*AT41)/100)</f>
        <v>0</v>
      </c>
      <c r="CZ41">
        <f>(((S41+R41)*AU41)/100)</f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86</v>
      </c>
      <c r="DW41" t="s">
        <v>86</v>
      </c>
      <c r="DX41">
        <v>1</v>
      </c>
      <c r="EE41">
        <v>26439762</v>
      </c>
      <c r="EF41">
        <v>8</v>
      </c>
      <c r="EG41" t="s">
        <v>36</v>
      </c>
      <c r="EH41">
        <v>0</v>
      </c>
      <c r="EI41" t="s">
        <v>3</v>
      </c>
      <c r="EJ41">
        <v>1</v>
      </c>
      <c r="EK41">
        <v>1100</v>
      </c>
      <c r="EL41" t="s">
        <v>74</v>
      </c>
      <c r="EM41" t="s">
        <v>75</v>
      </c>
      <c r="EO41" t="s">
        <v>3</v>
      </c>
      <c r="EQ41">
        <v>0</v>
      </c>
      <c r="ER41">
        <v>150</v>
      </c>
      <c r="ES41">
        <v>150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5</v>
      </c>
      <c r="FC41">
        <v>0</v>
      </c>
      <c r="FD41">
        <v>18</v>
      </c>
      <c r="FF41">
        <v>150</v>
      </c>
      <c r="FQ41">
        <v>0</v>
      </c>
      <c r="FR41">
        <f t="shared" si="37"/>
        <v>0</v>
      </c>
      <c r="FS41">
        <v>0</v>
      </c>
      <c r="FX41">
        <v>0</v>
      </c>
      <c r="FY41">
        <v>0</v>
      </c>
      <c r="GA41" t="s">
        <v>104</v>
      </c>
      <c r="GD41">
        <v>0</v>
      </c>
      <c r="GF41">
        <v>1815775298</v>
      </c>
      <c r="GG41">
        <v>2</v>
      </c>
      <c r="GH41">
        <v>3</v>
      </c>
      <c r="GI41">
        <v>-2</v>
      </c>
      <c r="GJ41">
        <v>0</v>
      </c>
      <c r="GK41">
        <f>ROUND(R41*(R12)/100,0)</f>
        <v>0</v>
      </c>
      <c r="GL41">
        <f t="shared" si="38"/>
        <v>0</v>
      </c>
      <c r="GM41">
        <f t="shared" si="39"/>
        <v>180000</v>
      </c>
      <c r="GN41">
        <f t="shared" si="40"/>
        <v>180000</v>
      </c>
      <c r="GO41">
        <f t="shared" si="41"/>
        <v>0</v>
      </c>
      <c r="GP41">
        <f t="shared" si="42"/>
        <v>0</v>
      </c>
      <c r="GR41">
        <v>1</v>
      </c>
      <c r="GS41">
        <v>1</v>
      </c>
      <c r="GT41">
        <v>0</v>
      </c>
      <c r="GU41" t="s">
        <v>3</v>
      </c>
      <c r="GV41">
        <f t="shared" si="43"/>
        <v>0</v>
      </c>
      <c r="GW41">
        <v>1</v>
      </c>
      <c r="GX41">
        <f t="shared" si="44"/>
        <v>0</v>
      </c>
      <c r="HA41">
        <v>0</v>
      </c>
      <c r="HB41">
        <v>0</v>
      </c>
      <c r="IK41">
        <v>0</v>
      </c>
    </row>
    <row r="43" spans="1:245" x14ac:dyDescent="0.2">
      <c r="A43" s="2">
        <v>51</v>
      </c>
      <c r="B43" s="2">
        <f>B20</f>
        <v>1</v>
      </c>
      <c r="C43" s="2">
        <f>A20</f>
        <v>3</v>
      </c>
      <c r="D43" s="2">
        <f>ROW(A20)</f>
        <v>20</v>
      </c>
      <c r="E43" s="2"/>
      <c r="F43" s="2" t="str">
        <f>IF(F20&lt;&gt;"",F20,"")</f>
        <v>Новая локальная смета</v>
      </c>
      <c r="G43" s="2" t="str">
        <f>IF(G20&lt;&gt;"",G20,"")</f>
        <v>Новая локальная смета</v>
      </c>
      <c r="H43" s="2">
        <v>0</v>
      </c>
      <c r="I43" s="2"/>
      <c r="J43" s="2"/>
      <c r="K43" s="2"/>
      <c r="L43" s="2"/>
      <c r="M43" s="2"/>
      <c r="N43" s="2"/>
      <c r="O43" s="2">
        <f t="shared" ref="O43:T43" si="48">ROUND(AB43,0)</f>
        <v>1345144</v>
      </c>
      <c r="P43" s="2">
        <f t="shared" si="48"/>
        <v>1221269</v>
      </c>
      <c r="Q43" s="2">
        <f t="shared" si="48"/>
        <v>84421</v>
      </c>
      <c r="R43" s="2">
        <f t="shared" si="48"/>
        <v>6443</v>
      </c>
      <c r="S43" s="2">
        <f t="shared" si="48"/>
        <v>39454</v>
      </c>
      <c r="T43" s="2">
        <f t="shared" si="48"/>
        <v>0</v>
      </c>
      <c r="U43" s="2">
        <f>AH43</f>
        <v>242.42370000000003</v>
      </c>
      <c r="V43" s="2">
        <f>AI43</f>
        <v>22.899400000000004</v>
      </c>
      <c r="W43" s="2">
        <f>ROUND(AJ43,0)</f>
        <v>500</v>
      </c>
      <c r="X43" s="2">
        <f>ROUND(AK43,0)</f>
        <v>45210</v>
      </c>
      <c r="Y43" s="2">
        <f>ROUND(AL43,0)</f>
        <v>26402</v>
      </c>
      <c r="Z43" s="2"/>
      <c r="AA43" s="2"/>
      <c r="AB43" s="2">
        <f>ROUND(SUMIF(AA24:AA41,"=27758530",O24:O41),0)</f>
        <v>1345144</v>
      </c>
      <c r="AC43" s="2">
        <f>ROUND(SUMIF(AA24:AA41,"=27758530",P24:P41),0)</f>
        <v>1221269</v>
      </c>
      <c r="AD43" s="2">
        <f>ROUND(SUMIF(AA24:AA41,"=27758530",Q24:Q41),0)</f>
        <v>84421</v>
      </c>
      <c r="AE43" s="2">
        <f>ROUND(SUMIF(AA24:AA41,"=27758530",R24:R41),0)</f>
        <v>6443</v>
      </c>
      <c r="AF43" s="2">
        <f>ROUND(SUMIF(AA24:AA41,"=27758530",S24:S41),0)</f>
        <v>39454</v>
      </c>
      <c r="AG43" s="2">
        <f>ROUND(SUMIF(AA24:AA41,"=27758530",T24:T41),0)</f>
        <v>0</v>
      </c>
      <c r="AH43" s="2">
        <f>SUMIF(AA24:AA41,"=27758530",U24:U41)</f>
        <v>242.42370000000003</v>
      </c>
      <c r="AI43" s="2">
        <f>SUMIF(AA24:AA41,"=27758530",V24:V41)</f>
        <v>22.899400000000004</v>
      </c>
      <c r="AJ43" s="2">
        <f>ROUND(SUMIF(AA24:AA41,"=27758530",W24:W41),0)</f>
        <v>500</v>
      </c>
      <c r="AK43" s="2">
        <f>ROUND(SUMIF(AA24:AA41,"=27758530",X24:X41),0)</f>
        <v>45210</v>
      </c>
      <c r="AL43" s="2">
        <f>ROUND(SUMIF(AA24:AA41,"=27758530",Y24:Y41),0)</f>
        <v>26402</v>
      </c>
      <c r="AM43" s="2"/>
      <c r="AN43" s="2"/>
      <c r="AO43" s="2">
        <f t="shared" ref="AO43:BC43" si="49">ROUND(BX43,0)</f>
        <v>0</v>
      </c>
      <c r="AP43" s="2">
        <f t="shared" si="49"/>
        <v>0</v>
      </c>
      <c r="AQ43" s="2">
        <f t="shared" si="49"/>
        <v>0</v>
      </c>
      <c r="AR43" s="2">
        <f t="shared" si="49"/>
        <v>1416756</v>
      </c>
      <c r="AS43" s="2">
        <f t="shared" si="49"/>
        <v>1416756</v>
      </c>
      <c r="AT43" s="2">
        <f t="shared" si="49"/>
        <v>0</v>
      </c>
      <c r="AU43" s="2">
        <f t="shared" si="49"/>
        <v>0</v>
      </c>
      <c r="AV43" s="2">
        <f t="shared" si="49"/>
        <v>1221269</v>
      </c>
      <c r="AW43" s="2">
        <f t="shared" si="49"/>
        <v>1221269</v>
      </c>
      <c r="AX43" s="2">
        <f t="shared" si="49"/>
        <v>0</v>
      </c>
      <c r="AY43" s="2">
        <f t="shared" si="49"/>
        <v>1221269</v>
      </c>
      <c r="AZ43" s="2">
        <f t="shared" si="49"/>
        <v>0</v>
      </c>
      <c r="BA43" s="2">
        <f t="shared" si="49"/>
        <v>0</v>
      </c>
      <c r="BB43" s="2">
        <f t="shared" si="49"/>
        <v>0</v>
      </c>
      <c r="BC43" s="2">
        <f t="shared" si="49"/>
        <v>0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>
        <f>ROUND(SUMIF(AA24:AA41,"=27758530",FQ24:FQ41),0)</f>
        <v>0</v>
      </c>
      <c r="BY43" s="2">
        <f>ROUND(SUMIF(AA24:AA41,"=27758530",FR24:FR41),0)</f>
        <v>0</v>
      </c>
      <c r="BZ43" s="2">
        <f>ROUND(SUMIF(AA24:AA41,"=27758530",GL24:GL41),0)</f>
        <v>0</v>
      </c>
      <c r="CA43" s="2">
        <f>ROUND(SUMIF(AA24:AA41,"=27758530",GM24:GM41),0)</f>
        <v>1416756</v>
      </c>
      <c r="CB43" s="2">
        <f>ROUND(SUMIF(AA24:AA41,"=27758530",GN24:GN41),0)</f>
        <v>1416756</v>
      </c>
      <c r="CC43" s="2">
        <f>ROUND(SUMIF(AA24:AA41,"=27758530",GO24:GO41),0)</f>
        <v>0</v>
      </c>
      <c r="CD43" s="2">
        <f>ROUND(SUMIF(AA24:AA41,"=27758530",GP24:GP41),0)</f>
        <v>0</v>
      </c>
      <c r="CE43" s="2">
        <f>AC43-BX43</f>
        <v>1221269</v>
      </c>
      <c r="CF43" s="2">
        <f>AC43-BY43</f>
        <v>1221269</v>
      </c>
      <c r="CG43" s="2">
        <f>BX43-BZ43</f>
        <v>0</v>
      </c>
      <c r="CH43" s="2">
        <f>AC43-BX43-BY43+BZ43</f>
        <v>1221269</v>
      </c>
      <c r="CI43" s="2">
        <f>BY43-BZ43</f>
        <v>0</v>
      </c>
      <c r="CJ43" s="2">
        <f>ROUND(SUMIF(AA24:AA41,"=27758530",GX24:GX41),0)</f>
        <v>0</v>
      </c>
      <c r="CK43" s="2">
        <f>ROUND(SUMIF(AA24:AA41,"=27758530",GY24:GY41),0)</f>
        <v>0</v>
      </c>
      <c r="CL43" s="2">
        <f>ROUND(SUMIF(AA24:AA41,"=27758530",GZ24:GZ41),0)</f>
        <v>0</v>
      </c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>
        <v>0</v>
      </c>
    </row>
    <row r="45" spans="1:245" x14ac:dyDescent="0.2">
      <c r="A45" s="4">
        <v>50</v>
      </c>
      <c r="B45" s="4">
        <v>1</v>
      </c>
      <c r="C45" s="4">
        <v>0</v>
      </c>
      <c r="D45" s="4">
        <v>1</v>
      </c>
      <c r="E45" s="4">
        <v>201</v>
      </c>
      <c r="F45" s="4">
        <f>ROUND(Source!O43,O45)</f>
        <v>1345144</v>
      </c>
      <c r="G45" s="4" t="s">
        <v>105</v>
      </c>
      <c r="H45" s="4" t="s">
        <v>106</v>
      </c>
      <c r="I45" s="4"/>
      <c r="J45" s="4"/>
      <c r="K45" s="4">
        <v>201</v>
      </c>
      <c r="L45" s="4">
        <v>1</v>
      </c>
      <c r="M45" s="4">
        <v>1</v>
      </c>
      <c r="N45" s="4" t="s">
        <v>3</v>
      </c>
      <c r="O45" s="4">
        <v>0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1</v>
      </c>
      <c r="C46" s="4">
        <v>0</v>
      </c>
      <c r="D46" s="4">
        <v>1</v>
      </c>
      <c r="E46" s="4">
        <v>202</v>
      </c>
      <c r="F46" s="4">
        <f>ROUND(Source!P43,O46)</f>
        <v>1221269</v>
      </c>
      <c r="G46" s="4" t="s">
        <v>107</v>
      </c>
      <c r="H46" s="4" t="s">
        <v>108</v>
      </c>
      <c r="I46" s="4"/>
      <c r="J46" s="4"/>
      <c r="K46" s="4">
        <v>202</v>
      </c>
      <c r="L46" s="4">
        <v>2</v>
      </c>
      <c r="M46" s="4">
        <v>1</v>
      </c>
      <c r="N46" s="4" t="s">
        <v>3</v>
      </c>
      <c r="O46" s="4">
        <v>0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222</v>
      </c>
      <c r="F47" s="4">
        <f>ROUND(Source!AO43,O47)</f>
        <v>0</v>
      </c>
      <c r="G47" s="4" t="s">
        <v>109</v>
      </c>
      <c r="H47" s="4" t="s">
        <v>110</v>
      </c>
      <c r="I47" s="4"/>
      <c r="J47" s="4"/>
      <c r="K47" s="4">
        <v>222</v>
      </c>
      <c r="L47" s="4">
        <v>3</v>
      </c>
      <c r="M47" s="4">
        <v>3</v>
      </c>
      <c r="N47" s="4" t="s">
        <v>3</v>
      </c>
      <c r="O47" s="4">
        <v>0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1</v>
      </c>
      <c r="C48" s="4">
        <v>0</v>
      </c>
      <c r="D48" s="4">
        <v>1</v>
      </c>
      <c r="E48" s="4">
        <v>225</v>
      </c>
      <c r="F48" s="4">
        <f>ROUND(Source!AV43,O48)</f>
        <v>1221269</v>
      </c>
      <c r="G48" s="4" t="s">
        <v>111</v>
      </c>
      <c r="H48" s="4" t="s">
        <v>112</v>
      </c>
      <c r="I48" s="4"/>
      <c r="J48" s="4"/>
      <c r="K48" s="4">
        <v>225</v>
      </c>
      <c r="L48" s="4">
        <v>4</v>
      </c>
      <c r="M48" s="4">
        <v>1</v>
      </c>
      <c r="N48" s="4" t="s">
        <v>3</v>
      </c>
      <c r="O48" s="4">
        <v>0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1</v>
      </c>
      <c r="C49" s="4">
        <v>0</v>
      </c>
      <c r="D49" s="4">
        <v>1</v>
      </c>
      <c r="E49" s="4">
        <v>226</v>
      </c>
      <c r="F49" s="4">
        <f>ROUND(Source!AW43,O49)</f>
        <v>1221269</v>
      </c>
      <c r="G49" s="4" t="s">
        <v>113</v>
      </c>
      <c r="H49" s="4" t="s">
        <v>114</v>
      </c>
      <c r="I49" s="4"/>
      <c r="J49" s="4"/>
      <c r="K49" s="4">
        <v>226</v>
      </c>
      <c r="L49" s="4">
        <v>5</v>
      </c>
      <c r="M49" s="4">
        <v>1</v>
      </c>
      <c r="N49" s="4" t="s">
        <v>3</v>
      </c>
      <c r="O49" s="4">
        <v>0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227</v>
      </c>
      <c r="F50" s="4">
        <f>ROUND(Source!AX43,O50)</f>
        <v>0</v>
      </c>
      <c r="G50" s="4" t="s">
        <v>115</v>
      </c>
      <c r="H50" s="4" t="s">
        <v>116</v>
      </c>
      <c r="I50" s="4"/>
      <c r="J50" s="4"/>
      <c r="K50" s="4">
        <v>227</v>
      </c>
      <c r="L50" s="4">
        <v>6</v>
      </c>
      <c r="M50" s="4">
        <v>3</v>
      </c>
      <c r="N50" s="4" t="s">
        <v>3</v>
      </c>
      <c r="O50" s="4">
        <v>0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1</v>
      </c>
      <c r="C51" s="4">
        <v>0</v>
      </c>
      <c r="D51" s="4">
        <v>1</v>
      </c>
      <c r="E51" s="4">
        <v>228</v>
      </c>
      <c r="F51" s="4">
        <f>ROUND(Source!AY43,O51)</f>
        <v>1221269</v>
      </c>
      <c r="G51" s="4" t="s">
        <v>117</v>
      </c>
      <c r="H51" s="4" t="s">
        <v>118</v>
      </c>
      <c r="I51" s="4"/>
      <c r="J51" s="4"/>
      <c r="K51" s="4">
        <v>228</v>
      </c>
      <c r="L51" s="4">
        <v>7</v>
      </c>
      <c r="M51" s="4">
        <v>1</v>
      </c>
      <c r="N51" s="4" t="s">
        <v>3</v>
      </c>
      <c r="O51" s="4">
        <v>0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216</v>
      </c>
      <c r="F52" s="4">
        <f>ROUND(Source!AP43,O52)</f>
        <v>0</v>
      </c>
      <c r="G52" s="4" t="s">
        <v>119</v>
      </c>
      <c r="H52" s="4" t="s">
        <v>120</v>
      </c>
      <c r="I52" s="4"/>
      <c r="J52" s="4"/>
      <c r="K52" s="4">
        <v>216</v>
      </c>
      <c r="L52" s="4">
        <v>8</v>
      </c>
      <c r="M52" s="4">
        <v>3</v>
      </c>
      <c r="N52" s="4" t="s">
        <v>3</v>
      </c>
      <c r="O52" s="4">
        <v>0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223</v>
      </c>
      <c r="F53" s="4">
        <f>ROUND(Source!AQ43,O53)</f>
        <v>0</v>
      </c>
      <c r="G53" s="4" t="s">
        <v>121</v>
      </c>
      <c r="H53" s="4" t="s">
        <v>122</v>
      </c>
      <c r="I53" s="4"/>
      <c r="J53" s="4"/>
      <c r="K53" s="4">
        <v>223</v>
      </c>
      <c r="L53" s="4">
        <v>9</v>
      </c>
      <c r="M53" s="4">
        <v>3</v>
      </c>
      <c r="N53" s="4" t="s">
        <v>3</v>
      </c>
      <c r="O53" s="4">
        <v>0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229</v>
      </c>
      <c r="F54" s="4">
        <f>ROUND(Source!AZ43,O54)</f>
        <v>0</v>
      </c>
      <c r="G54" s="4" t="s">
        <v>123</v>
      </c>
      <c r="H54" s="4" t="s">
        <v>124</v>
      </c>
      <c r="I54" s="4"/>
      <c r="J54" s="4"/>
      <c r="K54" s="4">
        <v>229</v>
      </c>
      <c r="L54" s="4">
        <v>10</v>
      </c>
      <c r="M54" s="4">
        <v>3</v>
      </c>
      <c r="N54" s="4" t="s">
        <v>3</v>
      </c>
      <c r="O54" s="4">
        <v>0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1</v>
      </c>
      <c r="C55" s="4">
        <v>0</v>
      </c>
      <c r="D55" s="4">
        <v>1</v>
      </c>
      <c r="E55" s="4">
        <v>203</v>
      </c>
      <c r="F55" s="4">
        <f>ROUND(Source!Q43,O55)</f>
        <v>84421</v>
      </c>
      <c r="G55" s="4" t="s">
        <v>125</v>
      </c>
      <c r="H55" s="4" t="s">
        <v>126</v>
      </c>
      <c r="I55" s="4"/>
      <c r="J55" s="4"/>
      <c r="K55" s="4">
        <v>203</v>
      </c>
      <c r="L55" s="4">
        <v>11</v>
      </c>
      <c r="M55" s="4">
        <v>1</v>
      </c>
      <c r="N55" s="4" t="s">
        <v>3</v>
      </c>
      <c r="O55" s="4">
        <v>0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231</v>
      </c>
      <c r="F56" s="4">
        <f>ROUND(Source!BB43,O56)</f>
        <v>0</v>
      </c>
      <c r="G56" s="4" t="s">
        <v>127</v>
      </c>
      <c r="H56" s="4" t="s">
        <v>128</v>
      </c>
      <c r="I56" s="4"/>
      <c r="J56" s="4"/>
      <c r="K56" s="4">
        <v>231</v>
      </c>
      <c r="L56" s="4">
        <v>12</v>
      </c>
      <c r="M56" s="4">
        <v>3</v>
      </c>
      <c r="N56" s="4" t="s">
        <v>3</v>
      </c>
      <c r="O56" s="4">
        <v>0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1</v>
      </c>
      <c r="C57" s="4">
        <v>0</v>
      </c>
      <c r="D57" s="4">
        <v>1</v>
      </c>
      <c r="E57" s="4">
        <v>204</v>
      </c>
      <c r="F57" s="4">
        <f>ROUND(Source!R43,O57)</f>
        <v>6443</v>
      </c>
      <c r="G57" s="4" t="s">
        <v>129</v>
      </c>
      <c r="H57" s="4" t="s">
        <v>130</v>
      </c>
      <c r="I57" s="4"/>
      <c r="J57" s="4"/>
      <c r="K57" s="4">
        <v>204</v>
      </c>
      <c r="L57" s="4">
        <v>13</v>
      </c>
      <c r="M57" s="4">
        <v>1</v>
      </c>
      <c r="N57" s="4" t="s">
        <v>3</v>
      </c>
      <c r="O57" s="4">
        <v>0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1</v>
      </c>
      <c r="C58" s="4">
        <v>0</v>
      </c>
      <c r="D58" s="4">
        <v>1</v>
      </c>
      <c r="E58" s="4">
        <v>205</v>
      </c>
      <c r="F58" s="4">
        <f>ROUND(Source!S43,O58)</f>
        <v>39454</v>
      </c>
      <c r="G58" s="4" t="s">
        <v>131</v>
      </c>
      <c r="H58" s="4" t="s">
        <v>132</v>
      </c>
      <c r="I58" s="4"/>
      <c r="J58" s="4"/>
      <c r="K58" s="4">
        <v>205</v>
      </c>
      <c r="L58" s="4">
        <v>14</v>
      </c>
      <c r="M58" s="4">
        <v>1</v>
      </c>
      <c r="N58" s="4" t="s">
        <v>3</v>
      </c>
      <c r="O58" s="4">
        <v>0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232</v>
      </c>
      <c r="F59" s="4">
        <f>ROUND(Source!BC43,O59)</f>
        <v>0</v>
      </c>
      <c r="G59" s="4" t="s">
        <v>133</v>
      </c>
      <c r="H59" s="4" t="s">
        <v>134</v>
      </c>
      <c r="I59" s="4"/>
      <c r="J59" s="4"/>
      <c r="K59" s="4">
        <v>232</v>
      </c>
      <c r="L59" s="4">
        <v>15</v>
      </c>
      <c r="M59" s="4">
        <v>3</v>
      </c>
      <c r="N59" s="4" t="s">
        <v>3</v>
      </c>
      <c r="O59" s="4">
        <v>0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1</v>
      </c>
      <c r="C60" s="4">
        <v>0</v>
      </c>
      <c r="D60" s="4">
        <v>1</v>
      </c>
      <c r="E60" s="4">
        <v>214</v>
      </c>
      <c r="F60" s="4">
        <f>ROUND(Source!AS43,O60)</f>
        <v>1416756</v>
      </c>
      <c r="G60" s="4" t="s">
        <v>135</v>
      </c>
      <c r="H60" s="4" t="s">
        <v>136</v>
      </c>
      <c r="I60" s="4"/>
      <c r="J60" s="4"/>
      <c r="K60" s="4">
        <v>214</v>
      </c>
      <c r="L60" s="4">
        <v>16</v>
      </c>
      <c r="M60" s="4">
        <v>1</v>
      </c>
      <c r="N60" s="4" t="s">
        <v>3</v>
      </c>
      <c r="O60" s="4">
        <v>0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215</v>
      </c>
      <c r="F61" s="4">
        <f>ROUND(Source!AT43,O61)</f>
        <v>0</v>
      </c>
      <c r="G61" s="4" t="s">
        <v>137</v>
      </c>
      <c r="H61" s="4" t="s">
        <v>138</v>
      </c>
      <c r="I61" s="4"/>
      <c r="J61" s="4"/>
      <c r="K61" s="4">
        <v>215</v>
      </c>
      <c r="L61" s="4">
        <v>17</v>
      </c>
      <c r="M61" s="4">
        <v>3</v>
      </c>
      <c r="N61" s="4" t="s">
        <v>3</v>
      </c>
      <c r="O61" s="4">
        <v>0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217</v>
      </c>
      <c r="F62" s="4">
        <f>ROUND(Source!AU43,O62)</f>
        <v>0</v>
      </c>
      <c r="G62" s="4" t="s">
        <v>139</v>
      </c>
      <c r="H62" s="4" t="s">
        <v>140</v>
      </c>
      <c r="I62" s="4"/>
      <c r="J62" s="4"/>
      <c r="K62" s="4">
        <v>217</v>
      </c>
      <c r="L62" s="4">
        <v>18</v>
      </c>
      <c r="M62" s="4">
        <v>3</v>
      </c>
      <c r="N62" s="4" t="s">
        <v>3</v>
      </c>
      <c r="O62" s="4">
        <v>0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230</v>
      </c>
      <c r="F63" s="4">
        <f>ROUND(Source!BA43,O63)</f>
        <v>0</v>
      </c>
      <c r="G63" s="4" t="s">
        <v>141</v>
      </c>
      <c r="H63" s="4" t="s">
        <v>142</v>
      </c>
      <c r="I63" s="4"/>
      <c r="J63" s="4"/>
      <c r="K63" s="4">
        <v>230</v>
      </c>
      <c r="L63" s="4">
        <v>19</v>
      </c>
      <c r="M63" s="4">
        <v>3</v>
      </c>
      <c r="N63" s="4" t="s">
        <v>3</v>
      </c>
      <c r="O63" s="4">
        <v>0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206</v>
      </c>
      <c r="F64" s="4">
        <f>ROUND(Source!T43,O64)</f>
        <v>0</v>
      </c>
      <c r="G64" s="4" t="s">
        <v>143</v>
      </c>
      <c r="H64" s="4" t="s">
        <v>144</v>
      </c>
      <c r="I64" s="4"/>
      <c r="J64" s="4"/>
      <c r="K64" s="4">
        <v>206</v>
      </c>
      <c r="L64" s="4">
        <v>20</v>
      </c>
      <c r="M64" s="4">
        <v>3</v>
      </c>
      <c r="N64" s="4" t="s">
        <v>3</v>
      </c>
      <c r="O64" s="4">
        <v>0</v>
      </c>
      <c r="P64" s="4"/>
      <c r="Q64" s="4"/>
      <c r="R64" s="4"/>
      <c r="S64" s="4"/>
      <c r="T64" s="4"/>
      <c r="U64" s="4"/>
      <c r="V64" s="4"/>
      <c r="W64" s="4"/>
    </row>
    <row r="65" spans="1:206" x14ac:dyDescent="0.2">
      <c r="A65" s="4">
        <v>50</v>
      </c>
      <c r="B65" s="4">
        <v>1</v>
      </c>
      <c r="C65" s="4">
        <v>0</v>
      </c>
      <c r="D65" s="4">
        <v>1</v>
      </c>
      <c r="E65" s="4">
        <v>207</v>
      </c>
      <c r="F65" s="4">
        <f>ROUND(Source!U43,O65)</f>
        <v>242</v>
      </c>
      <c r="G65" s="4" t="s">
        <v>145</v>
      </c>
      <c r="H65" s="4" t="s">
        <v>146</v>
      </c>
      <c r="I65" s="4"/>
      <c r="J65" s="4"/>
      <c r="K65" s="4">
        <v>207</v>
      </c>
      <c r="L65" s="4">
        <v>21</v>
      </c>
      <c r="M65" s="4">
        <v>1</v>
      </c>
      <c r="N65" s="4" t="s">
        <v>3</v>
      </c>
      <c r="O65" s="4">
        <v>0</v>
      </c>
      <c r="P65" s="4"/>
      <c r="Q65" s="4"/>
      <c r="R65" s="4"/>
      <c r="S65" s="4"/>
      <c r="T65" s="4"/>
      <c r="U65" s="4"/>
      <c r="V65" s="4"/>
      <c r="W65" s="4"/>
    </row>
    <row r="66" spans="1:206" x14ac:dyDescent="0.2">
      <c r="A66" s="4">
        <v>50</v>
      </c>
      <c r="B66" s="4">
        <v>1</v>
      </c>
      <c r="C66" s="4">
        <v>0</v>
      </c>
      <c r="D66" s="4">
        <v>1</v>
      </c>
      <c r="E66" s="4">
        <v>208</v>
      </c>
      <c r="F66" s="4">
        <f>ROUND(Source!V43,O66)</f>
        <v>23</v>
      </c>
      <c r="G66" s="4" t="s">
        <v>147</v>
      </c>
      <c r="H66" s="4" t="s">
        <v>148</v>
      </c>
      <c r="I66" s="4"/>
      <c r="J66" s="4"/>
      <c r="K66" s="4">
        <v>208</v>
      </c>
      <c r="L66" s="4">
        <v>22</v>
      </c>
      <c r="M66" s="4">
        <v>1</v>
      </c>
      <c r="N66" s="4" t="s">
        <v>3</v>
      </c>
      <c r="O66" s="4">
        <v>0</v>
      </c>
      <c r="P66" s="4"/>
      <c r="Q66" s="4"/>
      <c r="R66" s="4"/>
      <c r="S66" s="4"/>
      <c r="T66" s="4"/>
      <c r="U66" s="4"/>
      <c r="V66" s="4"/>
      <c r="W66" s="4"/>
    </row>
    <row r="67" spans="1:206" x14ac:dyDescent="0.2">
      <c r="A67" s="4">
        <v>50</v>
      </c>
      <c r="B67" s="4">
        <v>0</v>
      </c>
      <c r="C67" s="4">
        <v>0</v>
      </c>
      <c r="D67" s="4">
        <v>1</v>
      </c>
      <c r="E67" s="4">
        <v>209</v>
      </c>
      <c r="F67" s="4">
        <f>ROUND(Source!W43,O67)</f>
        <v>500</v>
      </c>
      <c r="G67" s="4" t="s">
        <v>149</v>
      </c>
      <c r="H67" s="4" t="s">
        <v>150</v>
      </c>
      <c r="I67" s="4"/>
      <c r="J67" s="4"/>
      <c r="K67" s="4">
        <v>209</v>
      </c>
      <c r="L67" s="4">
        <v>23</v>
      </c>
      <c r="M67" s="4">
        <v>3</v>
      </c>
      <c r="N67" s="4" t="s">
        <v>3</v>
      </c>
      <c r="O67" s="4">
        <v>0</v>
      </c>
      <c r="P67" s="4"/>
      <c r="Q67" s="4"/>
      <c r="R67" s="4"/>
      <c r="S67" s="4"/>
      <c r="T67" s="4"/>
      <c r="U67" s="4"/>
      <c r="V67" s="4"/>
      <c r="W67" s="4"/>
    </row>
    <row r="68" spans="1:206" x14ac:dyDescent="0.2">
      <c r="A68" s="4">
        <v>50</v>
      </c>
      <c r="B68" s="4">
        <v>1</v>
      </c>
      <c r="C68" s="4">
        <v>0</v>
      </c>
      <c r="D68" s="4">
        <v>1</v>
      </c>
      <c r="E68" s="4">
        <v>210</v>
      </c>
      <c r="F68" s="4">
        <f>ROUND(Source!X43,O68)</f>
        <v>45210</v>
      </c>
      <c r="G68" s="4" t="s">
        <v>151</v>
      </c>
      <c r="H68" s="4" t="s">
        <v>152</v>
      </c>
      <c r="I68" s="4"/>
      <c r="J68" s="4"/>
      <c r="K68" s="4">
        <v>210</v>
      </c>
      <c r="L68" s="4">
        <v>24</v>
      </c>
      <c r="M68" s="4">
        <v>1</v>
      </c>
      <c r="N68" s="4" t="s">
        <v>3</v>
      </c>
      <c r="O68" s="4">
        <v>0</v>
      </c>
      <c r="P68" s="4"/>
      <c r="Q68" s="4"/>
      <c r="R68" s="4"/>
      <c r="S68" s="4"/>
      <c r="T68" s="4"/>
      <c r="U68" s="4"/>
      <c r="V68" s="4"/>
      <c r="W68" s="4"/>
    </row>
    <row r="69" spans="1:206" x14ac:dyDescent="0.2">
      <c r="A69" s="4">
        <v>50</v>
      </c>
      <c r="B69" s="4">
        <v>1</v>
      </c>
      <c r="C69" s="4">
        <v>0</v>
      </c>
      <c r="D69" s="4">
        <v>1</v>
      </c>
      <c r="E69" s="4">
        <v>211</v>
      </c>
      <c r="F69" s="4">
        <f>ROUND(Source!Y43,O69)</f>
        <v>26402</v>
      </c>
      <c r="G69" s="4" t="s">
        <v>153</v>
      </c>
      <c r="H69" s="4" t="s">
        <v>154</v>
      </c>
      <c r="I69" s="4"/>
      <c r="J69" s="4"/>
      <c r="K69" s="4">
        <v>211</v>
      </c>
      <c r="L69" s="4">
        <v>25</v>
      </c>
      <c r="M69" s="4">
        <v>1</v>
      </c>
      <c r="N69" s="4" t="s">
        <v>3</v>
      </c>
      <c r="O69" s="4">
        <v>0</v>
      </c>
      <c r="P69" s="4"/>
      <c r="Q69" s="4"/>
      <c r="R69" s="4"/>
      <c r="S69" s="4"/>
      <c r="T69" s="4"/>
      <c r="U69" s="4"/>
      <c r="V69" s="4"/>
      <c r="W69" s="4"/>
    </row>
    <row r="70" spans="1:206" x14ac:dyDescent="0.2">
      <c r="A70" s="4">
        <v>50</v>
      </c>
      <c r="B70" s="4">
        <v>1</v>
      </c>
      <c r="C70" s="4">
        <v>0</v>
      </c>
      <c r="D70" s="4">
        <v>1</v>
      </c>
      <c r="E70" s="4">
        <v>0</v>
      </c>
      <c r="F70" s="4">
        <f>ROUND(Source!AR43,O70)</f>
        <v>1416756</v>
      </c>
      <c r="G70" s="4" t="s">
        <v>155</v>
      </c>
      <c r="H70" s="4" t="s">
        <v>156</v>
      </c>
      <c r="I70" s="4"/>
      <c r="J70" s="4"/>
      <c r="K70" s="4">
        <v>224</v>
      </c>
      <c r="L70" s="4">
        <v>26</v>
      </c>
      <c r="M70" s="4">
        <v>1</v>
      </c>
      <c r="N70" s="4" t="s">
        <v>3</v>
      </c>
      <c r="O70" s="4">
        <v>0</v>
      </c>
      <c r="P70" s="4"/>
      <c r="Q70" s="4"/>
      <c r="R70" s="4"/>
      <c r="S70" s="4"/>
      <c r="T70" s="4"/>
      <c r="U70" s="4"/>
      <c r="V70" s="4"/>
      <c r="W70" s="4"/>
    </row>
    <row r="71" spans="1:206" x14ac:dyDescent="0.2">
      <c r="A71" s="4">
        <v>50</v>
      </c>
      <c r="B71" s="4">
        <v>1</v>
      </c>
      <c r="C71" s="4">
        <v>0</v>
      </c>
      <c r="D71" s="4">
        <v>2</v>
      </c>
      <c r="E71" s="4">
        <v>0</v>
      </c>
      <c r="F71" s="4">
        <f>ROUND(F70*0.2,O71)</f>
        <v>283351</v>
      </c>
      <c r="G71" s="4" t="s">
        <v>157</v>
      </c>
      <c r="H71" s="4" t="s">
        <v>158</v>
      </c>
      <c r="I71" s="4"/>
      <c r="J71" s="4"/>
      <c r="K71" s="4">
        <v>212</v>
      </c>
      <c r="L71" s="4">
        <v>27</v>
      </c>
      <c r="M71" s="4">
        <v>1</v>
      </c>
      <c r="N71" s="4" t="s">
        <v>3</v>
      </c>
      <c r="O71" s="4">
        <v>0</v>
      </c>
      <c r="P71" s="4"/>
      <c r="Q71" s="4"/>
      <c r="R71" s="4"/>
      <c r="S71" s="4"/>
      <c r="T71" s="4"/>
      <c r="U71" s="4"/>
      <c r="V71" s="4"/>
      <c r="W71" s="4"/>
    </row>
    <row r="72" spans="1:206" x14ac:dyDescent="0.2">
      <c r="A72" s="4">
        <v>50</v>
      </c>
      <c r="B72" s="4">
        <v>1</v>
      </c>
      <c r="C72" s="4">
        <v>0</v>
      </c>
      <c r="D72" s="4">
        <v>2</v>
      </c>
      <c r="E72" s="4">
        <v>224</v>
      </c>
      <c r="F72" s="4">
        <f>ROUND(F70+F71,O72)</f>
        <v>1700107</v>
      </c>
      <c r="G72" s="4" t="s">
        <v>159</v>
      </c>
      <c r="H72" s="4" t="s">
        <v>160</v>
      </c>
      <c r="I72" s="4"/>
      <c r="J72" s="4"/>
      <c r="K72" s="4">
        <v>212</v>
      </c>
      <c r="L72" s="4">
        <v>28</v>
      </c>
      <c r="M72" s="4">
        <v>1</v>
      </c>
      <c r="N72" s="4" t="s">
        <v>3</v>
      </c>
      <c r="O72" s="4">
        <v>0</v>
      </c>
      <c r="P72" s="4"/>
      <c r="Q72" s="4"/>
      <c r="R72" s="4"/>
      <c r="S72" s="4"/>
      <c r="T72" s="4"/>
      <c r="U72" s="4"/>
      <c r="V72" s="4"/>
      <c r="W72" s="4"/>
    </row>
    <row r="74" spans="1:206" x14ac:dyDescent="0.2">
      <c r="A74" s="2">
        <v>51</v>
      </c>
      <c r="B74" s="2">
        <f>B12</f>
        <v>134</v>
      </c>
      <c r="C74" s="2">
        <f>A12</f>
        <v>1</v>
      </c>
      <c r="D74" s="2">
        <f>ROW(A12)</f>
        <v>12</v>
      </c>
      <c r="E74" s="2"/>
      <c r="F74" s="2" t="str">
        <f>IF(F12&lt;&gt;"",F12,"")</f>
        <v>Новый объект_(Копия)</v>
      </c>
      <c r="G74" s="2" t="str">
        <f>IF(G12&lt;&gt;"",G12,"")</f>
        <v>Обелиск 9.06.2020 новый красный_(Копия)</v>
      </c>
      <c r="H74" s="2">
        <v>0</v>
      </c>
      <c r="I74" s="2"/>
      <c r="J74" s="2"/>
      <c r="K74" s="2"/>
      <c r="L74" s="2"/>
      <c r="M74" s="2"/>
      <c r="N74" s="2"/>
      <c r="O74" s="2">
        <f t="shared" ref="O74:T74" si="50">ROUND(O43,0)</f>
        <v>1345144</v>
      </c>
      <c r="P74" s="2">
        <f t="shared" si="50"/>
        <v>1221269</v>
      </c>
      <c r="Q74" s="2">
        <f t="shared" si="50"/>
        <v>84421</v>
      </c>
      <c r="R74" s="2">
        <f t="shared" si="50"/>
        <v>6443</v>
      </c>
      <c r="S74" s="2">
        <f t="shared" si="50"/>
        <v>39454</v>
      </c>
      <c r="T74" s="2">
        <f t="shared" si="50"/>
        <v>0</v>
      </c>
      <c r="U74" s="2">
        <f>U43</f>
        <v>242.42370000000003</v>
      </c>
      <c r="V74" s="2">
        <f>V43</f>
        <v>22.899400000000004</v>
      </c>
      <c r="W74" s="2">
        <f>ROUND(W43,0)</f>
        <v>500</v>
      </c>
      <c r="X74" s="2">
        <f>ROUND(X43,0)</f>
        <v>45210</v>
      </c>
      <c r="Y74" s="2">
        <f>ROUND(Y43,0)</f>
        <v>26402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>
        <f t="shared" ref="AO74:BC74" si="51">ROUND(AO43,0)</f>
        <v>0</v>
      </c>
      <c r="AP74" s="2">
        <f t="shared" si="51"/>
        <v>0</v>
      </c>
      <c r="AQ74" s="2">
        <f t="shared" si="51"/>
        <v>0</v>
      </c>
      <c r="AR74" s="2">
        <f t="shared" si="51"/>
        <v>1416756</v>
      </c>
      <c r="AS74" s="2">
        <f t="shared" si="51"/>
        <v>1416756</v>
      </c>
      <c r="AT74" s="2">
        <f t="shared" si="51"/>
        <v>0</v>
      </c>
      <c r="AU74" s="2">
        <f t="shared" si="51"/>
        <v>0</v>
      </c>
      <c r="AV74" s="2">
        <f t="shared" si="51"/>
        <v>1221269</v>
      </c>
      <c r="AW74" s="2">
        <f t="shared" si="51"/>
        <v>1221269</v>
      </c>
      <c r="AX74" s="2">
        <f t="shared" si="51"/>
        <v>0</v>
      </c>
      <c r="AY74" s="2">
        <f t="shared" si="51"/>
        <v>1221269</v>
      </c>
      <c r="AZ74" s="2">
        <f t="shared" si="51"/>
        <v>0</v>
      </c>
      <c r="BA74" s="2">
        <f t="shared" si="51"/>
        <v>0</v>
      </c>
      <c r="BB74" s="2">
        <f t="shared" si="51"/>
        <v>0</v>
      </c>
      <c r="BC74" s="2">
        <f t="shared" si="51"/>
        <v>0</v>
      </c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>
        <v>0</v>
      </c>
    </row>
    <row r="76" spans="1:206" x14ac:dyDescent="0.2">
      <c r="A76" s="4">
        <v>50</v>
      </c>
      <c r="B76" s="4">
        <v>0</v>
      </c>
      <c r="C76" s="4">
        <v>0</v>
      </c>
      <c r="D76" s="4">
        <v>1</v>
      </c>
      <c r="E76" s="4">
        <v>201</v>
      </c>
      <c r="F76" s="4">
        <f>ROUND(Source!O74,O76)</f>
        <v>1345144</v>
      </c>
      <c r="G76" s="4" t="s">
        <v>105</v>
      </c>
      <c r="H76" s="4" t="s">
        <v>106</v>
      </c>
      <c r="I76" s="4"/>
      <c r="J76" s="4"/>
      <c r="K76" s="4">
        <v>201</v>
      </c>
      <c r="L76" s="4">
        <v>1</v>
      </c>
      <c r="M76" s="4">
        <v>3</v>
      </c>
      <c r="N76" s="4" t="s">
        <v>3</v>
      </c>
      <c r="O76" s="4">
        <v>0</v>
      </c>
      <c r="P76" s="4"/>
      <c r="Q76" s="4"/>
      <c r="R76" s="4"/>
      <c r="S76" s="4"/>
      <c r="T76" s="4"/>
      <c r="U76" s="4"/>
      <c r="V76" s="4"/>
      <c r="W76" s="4"/>
    </row>
    <row r="77" spans="1:206" x14ac:dyDescent="0.2">
      <c r="A77" s="4">
        <v>50</v>
      </c>
      <c r="B77" s="4">
        <v>0</v>
      </c>
      <c r="C77" s="4">
        <v>0</v>
      </c>
      <c r="D77" s="4">
        <v>1</v>
      </c>
      <c r="E77" s="4">
        <v>202</v>
      </c>
      <c r="F77" s="4">
        <f>ROUND(Source!P74,O77)</f>
        <v>1221269</v>
      </c>
      <c r="G77" s="4" t="s">
        <v>107</v>
      </c>
      <c r="H77" s="4" t="s">
        <v>108</v>
      </c>
      <c r="I77" s="4"/>
      <c r="J77" s="4"/>
      <c r="K77" s="4">
        <v>202</v>
      </c>
      <c r="L77" s="4">
        <v>2</v>
      </c>
      <c r="M77" s="4">
        <v>3</v>
      </c>
      <c r="N77" s="4" t="s">
        <v>3</v>
      </c>
      <c r="O77" s="4">
        <v>0</v>
      </c>
      <c r="P77" s="4"/>
      <c r="Q77" s="4"/>
      <c r="R77" s="4"/>
      <c r="S77" s="4"/>
      <c r="T77" s="4"/>
      <c r="U77" s="4"/>
      <c r="V77" s="4"/>
      <c r="W77" s="4"/>
    </row>
    <row r="78" spans="1:206" x14ac:dyDescent="0.2">
      <c r="A78" s="4">
        <v>50</v>
      </c>
      <c r="B78" s="4">
        <v>0</v>
      </c>
      <c r="C78" s="4">
        <v>0</v>
      </c>
      <c r="D78" s="4">
        <v>1</v>
      </c>
      <c r="E78" s="4">
        <v>222</v>
      </c>
      <c r="F78" s="4">
        <f>ROUND(Source!AO74,O78)</f>
        <v>0</v>
      </c>
      <c r="G78" s="4" t="s">
        <v>109</v>
      </c>
      <c r="H78" s="4" t="s">
        <v>110</v>
      </c>
      <c r="I78" s="4"/>
      <c r="J78" s="4"/>
      <c r="K78" s="4">
        <v>222</v>
      </c>
      <c r="L78" s="4">
        <v>3</v>
      </c>
      <c r="M78" s="4">
        <v>3</v>
      </c>
      <c r="N78" s="4" t="s">
        <v>3</v>
      </c>
      <c r="O78" s="4">
        <v>0</v>
      </c>
      <c r="P78" s="4"/>
      <c r="Q78" s="4"/>
      <c r="R78" s="4"/>
      <c r="S78" s="4"/>
      <c r="T78" s="4"/>
      <c r="U78" s="4"/>
      <c r="V78" s="4"/>
      <c r="W78" s="4"/>
    </row>
    <row r="79" spans="1:206" x14ac:dyDescent="0.2">
      <c r="A79" s="4">
        <v>50</v>
      </c>
      <c r="B79" s="4">
        <v>0</v>
      </c>
      <c r="C79" s="4">
        <v>0</v>
      </c>
      <c r="D79" s="4">
        <v>1</v>
      </c>
      <c r="E79" s="4">
        <v>225</v>
      </c>
      <c r="F79" s="4">
        <f>ROUND(Source!AV74,O79)</f>
        <v>1221269</v>
      </c>
      <c r="G79" s="4" t="s">
        <v>111</v>
      </c>
      <c r="H79" s="4" t="s">
        <v>112</v>
      </c>
      <c r="I79" s="4"/>
      <c r="J79" s="4"/>
      <c r="K79" s="4">
        <v>225</v>
      </c>
      <c r="L79" s="4">
        <v>4</v>
      </c>
      <c r="M79" s="4">
        <v>3</v>
      </c>
      <c r="N79" s="4" t="s">
        <v>3</v>
      </c>
      <c r="O79" s="4">
        <v>0</v>
      </c>
      <c r="P79" s="4"/>
      <c r="Q79" s="4"/>
      <c r="R79" s="4"/>
      <c r="S79" s="4"/>
      <c r="T79" s="4"/>
      <c r="U79" s="4"/>
      <c r="V79" s="4"/>
      <c r="W79" s="4"/>
    </row>
    <row r="80" spans="1:206" x14ac:dyDescent="0.2">
      <c r="A80" s="4">
        <v>50</v>
      </c>
      <c r="B80" s="4">
        <v>0</v>
      </c>
      <c r="C80" s="4">
        <v>0</v>
      </c>
      <c r="D80" s="4">
        <v>1</v>
      </c>
      <c r="E80" s="4">
        <v>226</v>
      </c>
      <c r="F80" s="4">
        <f>ROUND(Source!AW74,O80)</f>
        <v>1221269</v>
      </c>
      <c r="G80" s="4" t="s">
        <v>113</v>
      </c>
      <c r="H80" s="4" t="s">
        <v>114</v>
      </c>
      <c r="I80" s="4"/>
      <c r="J80" s="4"/>
      <c r="K80" s="4">
        <v>226</v>
      </c>
      <c r="L80" s="4">
        <v>5</v>
      </c>
      <c r="M80" s="4">
        <v>3</v>
      </c>
      <c r="N80" s="4" t="s">
        <v>3</v>
      </c>
      <c r="O80" s="4">
        <v>0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227</v>
      </c>
      <c r="F81" s="4">
        <f>ROUND(Source!AX74,O81)</f>
        <v>0</v>
      </c>
      <c r="G81" s="4" t="s">
        <v>115</v>
      </c>
      <c r="H81" s="4" t="s">
        <v>116</v>
      </c>
      <c r="I81" s="4"/>
      <c r="J81" s="4"/>
      <c r="K81" s="4">
        <v>227</v>
      </c>
      <c r="L81" s="4">
        <v>6</v>
      </c>
      <c r="M81" s="4">
        <v>3</v>
      </c>
      <c r="N81" s="4" t="s">
        <v>3</v>
      </c>
      <c r="O81" s="4">
        <v>0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228</v>
      </c>
      <c r="F82" s="4">
        <f>ROUND(Source!AY74,O82)</f>
        <v>1221269</v>
      </c>
      <c r="G82" s="4" t="s">
        <v>117</v>
      </c>
      <c r="H82" s="4" t="s">
        <v>118</v>
      </c>
      <c r="I82" s="4"/>
      <c r="J82" s="4"/>
      <c r="K82" s="4">
        <v>228</v>
      </c>
      <c r="L82" s="4">
        <v>7</v>
      </c>
      <c r="M82" s="4">
        <v>3</v>
      </c>
      <c r="N82" s="4" t="s">
        <v>3</v>
      </c>
      <c r="O82" s="4">
        <v>0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216</v>
      </c>
      <c r="F83" s="4">
        <f>ROUND(Source!AP74,O83)</f>
        <v>0</v>
      </c>
      <c r="G83" s="4" t="s">
        <v>119</v>
      </c>
      <c r="H83" s="4" t="s">
        <v>120</v>
      </c>
      <c r="I83" s="4"/>
      <c r="J83" s="4"/>
      <c r="K83" s="4">
        <v>216</v>
      </c>
      <c r="L83" s="4">
        <v>8</v>
      </c>
      <c r="M83" s="4">
        <v>3</v>
      </c>
      <c r="N83" s="4" t="s">
        <v>3</v>
      </c>
      <c r="O83" s="4">
        <v>0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223</v>
      </c>
      <c r="F84" s="4">
        <f>ROUND(Source!AQ74,O84)</f>
        <v>0</v>
      </c>
      <c r="G84" s="4" t="s">
        <v>121</v>
      </c>
      <c r="H84" s="4" t="s">
        <v>122</v>
      </c>
      <c r="I84" s="4"/>
      <c r="J84" s="4"/>
      <c r="K84" s="4">
        <v>223</v>
      </c>
      <c r="L84" s="4">
        <v>9</v>
      </c>
      <c r="M84" s="4">
        <v>3</v>
      </c>
      <c r="N84" s="4" t="s">
        <v>3</v>
      </c>
      <c r="O84" s="4">
        <v>0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229</v>
      </c>
      <c r="F85" s="4">
        <f>ROUND(Source!AZ74,O85)</f>
        <v>0</v>
      </c>
      <c r="G85" s="4" t="s">
        <v>123</v>
      </c>
      <c r="H85" s="4" t="s">
        <v>124</v>
      </c>
      <c r="I85" s="4"/>
      <c r="J85" s="4"/>
      <c r="K85" s="4">
        <v>229</v>
      </c>
      <c r="L85" s="4">
        <v>10</v>
      </c>
      <c r="M85" s="4">
        <v>3</v>
      </c>
      <c r="N85" s="4" t="s">
        <v>3</v>
      </c>
      <c r="O85" s="4">
        <v>0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203</v>
      </c>
      <c r="F86" s="4">
        <f>ROUND(Source!Q74,O86)</f>
        <v>84421</v>
      </c>
      <c r="G86" s="4" t="s">
        <v>125</v>
      </c>
      <c r="H86" s="4" t="s">
        <v>126</v>
      </c>
      <c r="I86" s="4"/>
      <c r="J86" s="4"/>
      <c r="K86" s="4">
        <v>203</v>
      </c>
      <c r="L86" s="4">
        <v>11</v>
      </c>
      <c r="M86" s="4">
        <v>3</v>
      </c>
      <c r="N86" s="4" t="s">
        <v>3</v>
      </c>
      <c r="O86" s="4">
        <v>0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231</v>
      </c>
      <c r="F87" s="4">
        <f>ROUND(Source!BB74,O87)</f>
        <v>0</v>
      </c>
      <c r="G87" s="4" t="s">
        <v>127</v>
      </c>
      <c r="H87" s="4" t="s">
        <v>128</v>
      </c>
      <c r="I87" s="4"/>
      <c r="J87" s="4"/>
      <c r="K87" s="4">
        <v>231</v>
      </c>
      <c r="L87" s="4">
        <v>12</v>
      </c>
      <c r="M87" s="4">
        <v>3</v>
      </c>
      <c r="N87" s="4" t="s">
        <v>3</v>
      </c>
      <c r="O87" s="4">
        <v>0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204</v>
      </c>
      <c r="F88" s="4">
        <f>ROUND(Source!R74,O88)</f>
        <v>6443</v>
      </c>
      <c r="G88" s="4" t="s">
        <v>129</v>
      </c>
      <c r="H88" s="4" t="s">
        <v>130</v>
      </c>
      <c r="I88" s="4"/>
      <c r="J88" s="4"/>
      <c r="K88" s="4">
        <v>204</v>
      </c>
      <c r="L88" s="4">
        <v>13</v>
      </c>
      <c r="M88" s="4">
        <v>3</v>
      </c>
      <c r="N88" s="4" t="s">
        <v>3</v>
      </c>
      <c r="O88" s="4">
        <v>0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205</v>
      </c>
      <c r="F89" s="4">
        <f>ROUND(Source!S74,O89)</f>
        <v>39454</v>
      </c>
      <c r="G89" s="4" t="s">
        <v>131</v>
      </c>
      <c r="H89" s="4" t="s">
        <v>132</v>
      </c>
      <c r="I89" s="4"/>
      <c r="J89" s="4"/>
      <c r="K89" s="4">
        <v>205</v>
      </c>
      <c r="L89" s="4">
        <v>14</v>
      </c>
      <c r="M89" s="4">
        <v>3</v>
      </c>
      <c r="N89" s="4" t="s">
        <v>3</v>
      </c>
      <c r="O89" s="4">
        <v>0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232</v>
      </c>
      <c r="F90" s="4">
        <f>ROUND(Source!BC74,O90)</f>
        <v>0</v>
      </c>
      <c r="G90" s="4" t="s">
        <v>133</v>
      </c>
      <c r="H90" s="4" t="s">
        <v>134</v>
      </c>
      <c r="I90" s="4"/>
      <c r="J90" s="4"/>
      <c r="K90" s="4">
        <v>232</v>
      </c>
      <c r="L90" s="4">
        <v>15</v>
      </c>
      <c r="M90" s="4">
        <v>3</v>
      </c>
      <c r="N90" s="4" t="s">
        <v>3</v>
      </c>
      <c r="O90" s="4">
        <v>0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214</v>
      </c>
      <c r="F91" s="4">
        <f>ROUND(Source!AS74,O91)</f>
        <v>1416756</v>
      </c>
      <c r="G91" s="4" t="s">
        <v>135</v>
      </c>
      <c r="H91" s="4" t="s">
        <v>136</v>
      </c>
      <c r="I91" s="4"/>
      <c r="J91" s="4"/>
      <c r="K91" s="4">
        <v>214</v>
      </c>
      <c r="L91" s="4">
        <v>16</v>
      </c>
      <c r="M91" s="4">
        <v>3</v>
      </c>
      <c r="N91" s="4" t="s">
        <v>3</v>
      </c>
      <c r="O91" s="4">
        <v>0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1</v>
      </c>
      <c r="E92" s="4">
        <v>215</v>
      </c>
      <c r="F92" s="4">
        <f>ROUND(Source!AT74,O92)</f>
        <v>0</v>
      </c>
      <c r="G92" s="4" t="s">
        <v>137</v>
      </c>
      <c r="H92" s="4" t="s">
        <v>138</v>
      </c>
      <c r="I92" s="4"/>
      <c r="J92" s="4"/>
      <c r="K92" s="4">
        <v>215</v>
      </c>
      <c r="L92" s="4">
        <v>17</v>
      </c>
      <c r="M92" s="4">
        <v>3</v>
      </c>
      <c r="N92" s="4" t="s">
        <v>3</v>
      </c>
      <c r="O92" s="4">
        <v>0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0</v>
      </c>
      <c r="C93" s="4">
        <v>0</v>
      </c>
      <c r="D93" s="4">
        <v>1</v>
      </c>
      <c r="E93" s="4">
        <v>217</v>
      </c>
      <c r="F93" s="4">
        <f>ROUND(Source!AU74,O93)</f>
        <v>0</v>
      </c>
      <c r="G93" s="4" t="s">
        <v>139</v>
      </c>
      <c r="H93" s="4" t="s">
        <v>140</v>
      </c>
      <c r="I93" s="4"/>
      <c r="J93" s="4"/>
      <c r="K93" s="4">
        <v>217</v>
      </c>
      <c r="L93" s="4">
        <v>18</v>
      </c>
      <c r="M93" s="4">
        <v>3</v>
      </c>
      <c r="N93" s="4" t="s">
        <v>3</v>
      </c>
      <c r="O93" s="4">
        <v>0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0</v>
      </c>
      <c r="C94" s="4">
        <v>0</v>
      </c>
      <c r="D94" s="4">
        <v>1</v>
      </c>
      <c r="E94" s="4">
        <v>230</v>
      </c>
      <c r="F94" s="4">
        <f>ROUND(Source!BA74,O94)</f>
        <v>0</v>
      </c>
      <c r="G94" s="4" t="s">
        <v>141</v>
      </c>
      <c r="H94" s="4" t="s">
        <v>142</v>
      </c>
      <c r="I94" s="4"/>
      <c r="J94" s="4"/>
      <c r="K94" s="4">
        <v>230</v>
      </c>
      <c r="L94" s="4">
        <v>19</v>
      </c>
      <c r="M94" s="4">
        <v>3</v>
      </c>
      <c r="N94" s="4" t="s">
        <v>3</v>
      </c>
      <c r="O94" s="4">
        <v>0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4">
        <v>50</v>
      </c>
      <c r="B95" s="4">
        <v>0</v>
      </c>
      <c r="C95" s="4">
        <v>0</v>
      </c>
      <c r="D95" s="4">
        <v>1</v>
      </c>
      <c r="E95" s="4">
        <v>206</v>
      </c>
      <c r="F95" s="4">
        <f>ROUND(Source!T74,O95)</f>
        <v>0</v>
      </c>
      <c r="G95" s="4" t="s">
        <v>143</v>
      </c>
      <c r="H95" s="4" t="s">
        <v>144</v>
      </c>
      <c r="I95" s="4"/>
      <c r="J95" s="4"/>
      <c r="K95" s="4">
        <v>206</v>
      </c>
      <c r="L95" s="4">
        <v>20</v>
      </c>
      <c r="M95" s="4">
        <v>3</v>
      </c>
      <c r="N95" s="4" t="s">
        <v>3</v>
      </c>
      <c r="O95" s="4">
        <v>0</v>
      </c>
      <c r="P95" s="4"/>
      <c r="Q95" s="4"/>
      <c r="R95" s="4"/>
      <c r="S95" s="4"/>
      <c r="T95" s="4"/>
      <c r="U95" s="4"/>
      <c r="V95" s="4"/>
      <c r="W95" s="4"/>
    </row>
    <row r="96" spans="1:23" x14ac:dyDescent="0.2">
      <c r="A96" s="4">
        <v>50</v>
      </c>
      <c r="B96" s="4">
        <v>0</v>
      </c>
      <c r="C96" s="4">
        <v>0</v>
      </c>
      <c r="D96" s="4">
        <v>1</v>
      </c>
      <c r="E96" s="4">
        <v>207</v>
      </c>
      <c r="F96" s="4">
        <f>Source!U74</f>
        <v>242.42370000000003</v>
      </c>
      <c r="G96" s="4" t="s">
        <v>145</v>
      </c>
      <c r="H96" s="4" t="s">
        <v>146</v>
      </c>
      <c r="I96" s="4"/>
      <c r="J96" s="4"/>
      <c r="K96" s="4">
        <v>207</v>
      </c>
      <c r="L96" s="4">
        <v>21</v>
      </c>
      <c r="M96" s="4">
        <v>3</v>
      </c>
      <c r="N96" s="4" t="s">
        <v>3</v>
      </c>
      <c r="O96" s="4">
        <v>-1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208</v>
      </c>
      <c r="F97" s="4">
        <f>Source!V74</f>
        <v>22.899400000000004</v>
      </c>
      <c r="G97" s="4" t="s">
        <v>147</v>
      </c>
      <c r="H97" s="4" t="s">
        <v>148</v>
      </c>
      <c r="I97" s="4"/>
      <c r="J97" s="4"/>
      <c r="K97" s="4">
        <v>208</v>
      </c>
      <c r="L97" s="4">
        <v>22</v>
      </c>
      <c r="M97" s="4">
        <v>3</v>
      </c>
      <c r="N97" s="4" t="s">
        <v>3</v>
      </c>
      <c r="O97" s="4">
        <v>-1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209</v>
      </c>
      <c r="F98" s="4">
        <f>ROUND(Source!W74,O98)</f>
        <v>500</v>
      </c>
      <c r="G98" s="4" t="s">
        <v>149</v>
      </c>
      <c r="H98" s="4" t="s">
        <v>150</v>
      </c>
      <c r="I98" s="4"/>
      <c r="J98" s="4"/>
      <c r="K98" s="4">
        <v>209</v>
      </c>
      <c r="L98" s="4">
        <v>23</v>
      </c>
      <c r="M98" s="4">
        <v>3</v>
      </c>
      <c r="N98" s="4" t="s">
        <v>3</v>
      </c>
      <c r="O98" s="4">
        <v>0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210</v>
      </c>
      <c r="F99" s="4">
        <f>ROUND(Source!X74,O99)</f>
        <v>45210</v>
      </c>
      <c r="G99" s="4" t="s">
        <v>151</v>
      </c>
      <c r="H99" s="4" t="s">
        <v>152</v>
      </c>
      <c r="I99" s="4"/>
      <c r="J99" s="4"/>
      <c r="K99" s="4">
        <v>210</v>
      </c>
      <c r="L99" s="4">
        <v>24</v>
      </c>
      <c r="M99" s="4">
        <v>3</v>
      </c>
      <c r="N99" s="4" t="s">
        <v>3</v>
      </c>
      <c r="O99" s="4">
        <v>0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211</v>
      </c>
      <c r="F100" s="4">
        <f>ROUND(Source!Y74,O100)</f>
        <v>26402</v>
      </c>
      <c r="G100" s="4" t="s">
        <v>153</v>
      </c>
      <c r="H100" s="4" t="s">
        <v>154</v>
      </c>
      <c r="I100" s="4"/>
      <c r="J100" s="4"/>
      <c r="K100" s="4">
        <v>211</v>
      </c>
      <c r="L100" s="4">
        <v>25</v>
      </c>
      <c r="M100" s="4">
        <v>3</v>
      </c>
      <c r="N100" s="4" t="s">
        <v>3</v>
      </c>
      <c r="O100" s="4">
        <v>0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0</v>
      </c>
      <c r="F101" s="4">
        <f>ROUND(Source!AR74,O101)</f>
        <v>1416756</v>
      </c>
      <c r="G101" s="4" t="s">
        <v>155</v>
      </c>
      <c r="H101" s="4" t="s">
        <v>156</v>
      </c>
      <c r="I101" s="4"/>
      <c r="J101" s="4"/>
      <c r="K101" s="4">
        <v>224</v>
      </c>
      <c r="L101" s="4">
        <v>26</v>
      </c>
      <c r="M101" s="4">
        <v>3</v>
      </c>
      <c r="N101" s="4" t="s">
        <v>3</v>
      </c>
      <c r="O101" s="4">
        <v>0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1</v>
      </c>
      <c r="C102" s="4">
        <v>0</v>
      </c>
      <c r="D102" s="4">
        <v>2</v>
      </c>
      <c r="E102" s="4">
        <v>0</v>
      </c>
      <c r="F102" s="4">
        <f>ROUND(F101*0.2,O102)</f>
        <v>283351</v>
      </c>
      <c r="G102" s="4" t="s">
        <v>157</v>
      </c>
      <c r="H102" s="4" t="s">
        <v>158</v>
      </c>
      <c r="I102" s="4"/>
      <c r="J102" s="4"/>
      <c r="K102" s="4">
        <v>212</v>
      </c>
      <c r="L102" s="4">
        <v>27</v>
      </c>
      <c r="M102" s="4">
        <v>1</v>
      </c>
      <c r="N102" s="4" t="s">
        <v>3</v>
      </c>
      <c r="O102" s="4">
        <v>0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1</v>
      </c>
      <c r="C103" s="4">
        <v>0</v>
      </c>
      <c r="D103" s="4">
        <v>2</v>
      </c>
      <c r="E103" s="4">
        <v>224</v>
      </c>
      <c r="F103" s="4">
        <f>ROUND(F101+F102,O103)</f>
        <v>1700107</v>
      </c>
      <c r="G103" s="4" t="s">
        <v>159</v>
      </c>
      <c r="H103" s="4" t="s">
        <v>160</v>
      </c>
      <c r="I103" s="4"/>
      <c r="J103" s="4"/>
      <c r="K103" s="4">
        <v>212</v>
      </c>
      <c r="L103" s="4">
        <v>28</v>
      </c>
      <c r="M103" s="4">
        <v>1</v>
      </c>
      <c r="N103" s="4" t="s">
        <v>3</v>
      </c>
      <c r="O103" s="4">
        <v>0</v>
      </c>
      <c r="P103" s="4"/>
      <c r="Q103" s="4"/>
      <c r="R103" s="4"/>
      <c r="S103" s="4"/>
      <c r="T103" s="4"/>
      <c r="U103" s="4"/>
      <c r="V103" s="4"/>
      <c r="W103" s="4"/>
    </row>
    <row r="106" spans="1:23" x14ac:dyDescent="0.2">
      <c r="A106">
        <v>70</v>
      </c>
      <c r="B106">
        <v>1</v>
      </c>
      <c r="D106">
        <v>1</v>
      </c>
      <c r="E106" t="s">
        <v>161</v>
      </c>
      <c r="F106" t="s">
        <v>162</v>
      </c>
      <c r="G106">
        <v>0</v>
      </c>
      <c r="H106">
        <v>0</v>
      </c>
      <c r="I106" t="s">
        <v>3</v>
      </c>
      <c r="J106">
        <v>1</v>
      </c>
      <c r="K106">
        <v>0</v>
      </c>
      <c r="L106" t="s">
        <v>3</v>
      </c>
      <c r="M106" t="s">
        <v>3</v>
      </c>
      <c r="N106">
        <v>0</v>
      </c>
    </row>
    <row r="107" spans="1:23" x14ac:dyDescent="0.2">
      <c r="A107">
        <v>70</v>
      </c>
      <c r="B107">
        <v>1</v>
      </c>
      <c r="D107">
        <v>2</v>
      </c>
      <c r="E107" t="s">
        <v>163</v>
      </c>
      <c r="F107" t="s">
        <v>164</v>
      </c>
      <c r="G107">
        <v>1</v>
      </c>
      <c r="H107">
        <v>0</v>
      </c>
      <c r="I107" t="s">
        <v>3</v>
      </c>
      <c r="J107">
        <v>1</v>
      </c>
      <c r="K107">
        <v>0</v>
      </c>
      <c r="L107" t="s">
        <v>3</v>
      </c>
      <c r="M107" t="s">
        <v>3</v>
      </c>
      <c r="N107">
        <v>0</v>
      </c>
    </row>
    <row r="108" spans="1:23" x14ac:dyDescent="0.2">
      <c r="A108">
        <v>70</v>
      </c>
      <c r="B108">
        <v>1</v>
      </c>
      <c r="D108">
        <v>3</v>
      </c>
      <c r="E108" t="s">
        <v>165</v>
      </c>
      <c r="F108" t="s">
        <v>166</v>
      </c>
      <c r="G108">
        <v>0</v>
      </c>
      <c r="H108">
        <v>0</v>
      </c>
      <c r="I108" t="s">
        <v>3</v>
      </c>
      <c r="J108">
        <v>1</v>
      </c>
      <c r="K108">
        <v>0</v>
      </c>
      <c r="L108" t="s">
        <v>3</v>
      </c>
      <c r="M108" t="s">
        <v>3</v>
      </c>
      <c r="N108">
        <v>0</v>
      </c>
    </row>
    <row r="109" spans="1:23" x14ac:dyDescent="0.2">
      <c r="A109">
        <v>70</v>
      </c>
      <c r="B109">
        <v>1</v>
      </c>
      <c r="D109">
        <v>4</v>
      </c>
      <c r="E109" t="s">
        <v>167</v>
      </c>
      <c r="F109" t="s">
        <v>168</v>
      </c>
      <c r="G109">
        <v>0</v>
      </c>
      <c r="H109">
        <v>0</v>
      </c>
      <c r="I109" t="s">
        <v>169</v>
      </c>
      <c r="J109">
        <v>0</v>
      </c>
      <c r="K109">
        <v>0</v>
      </c>
      <c r="L109" t="s">
        <v>3</v>
      </c>
      <c r="M109" t="s">
        <v>3</v>
      </c>
      <c r="N109">
        <v>0</v>
      </c>
    </row>
    <row r="110" spans="1:23" x14ac:dyDescent="0.2">
      <c r="A110">
        <v>70</v>
      </c>
      <c r="B110">
        <v>1</v>
      </c>
      <c r="D110">
        <v>5</v>
      </c>
      <c r="E110" t="s">
        <v>170</v>
      </c>
      <c r="F110" t="s">
        <v>171</v>
      </c>
      <c r="G110">
        <v>0</v>
      </c>
      <c r="H110">
        <v>0</v>
      </c>
      <c r="I110" t="s">
        <v>172</v>
      </c>
      <c r="J110">
        <v>0</v>
      </c>
      <c r="K110">
        <v>0</v>
      </c>
      <c r="L110" t="s">
        <v>3</v>
      </c>
      <c r="M110" t="s">
        <v>3</v>
      </c>
      <c r="N110">
        <v>0</v>
      </c>
    </row>
    <row r="111" spans="1:23" x14ac:dyDescent="0.2">
      <c r="A111">
        <v>70</v>
      </c>
      <c r="B111">
        <v>1</v>
      </c>
      <c r="D111">
        <v>6</v>
      </c>
      <c r="E111" t="s">
        <v>173</v>
      </c>
      <c r="F111" t="s">
        <v>174</v>
      </c>
      <c r="G111">
        <v>0</v>
      </c>
      <c r="H111">
        <v>0</v>
      </c>
      <c r="I111" t="s">
        <v>175</v>
      </c>
      <c r="J111">
        <v>0</v>
      </c>
      <c r="K111">
        <v>0</v>
      </c>
      <c r="L111" t="s">
        <v>3</v>
      </c>
      <c r="M111" t="s">
        <v>3</v>
      </c>
      <c r="N111">
        <v>0</v>
      </c>
    </row>
    <row r="112" spans="1:23" x14ac:dyDescent="0.2">
      <c r="A112">
        <v>70</v>
      </c>
      <c r="B112">
        <v>1</v>
      </c>
      <c r="D112">
        <v>7</v>
      </c>
      <c r="E112" t="s">
        <v>176</v>
      </c>
      <c r="F112" t="s">
        <v>177</v>
      </c>
      <c r="G112">
        <v>1</v>
      </c>
      <c r="H112">
        <v>0</v>
      </c>
      <c r="I112" t="s">
        <v>3</v>
      </c>
      <c r="J112">
        <v>0</v>
      </c>
      <c r="K112">
        <v>0</v>
      </c>
      <c r="L112" t="s">
        <v>3</v>
      </c>
      <c r="M112" t="s">
        <v>3</v>
      </c>
      <c r="N112">
        <v>0</v>
      </c>
    </row>
    <row r="113" spans="1:14" x14ac:dyDescent="0.2">
      <c r="A113">
        <v>70</v>
      </c>
      <c r="B113">
        <v>1</v>
      </c>
      <c r="D113">
        <v>8</v>
      </c>
      <c r="E113" t="s">
        <v>178</v>
      </c>
      <c r="F113" t="s">
        <v>179</v>
      </c>
      <c r="G113">
        <v>0</v>
      </c>
      <c r="H113">
        <v>0</v>
      </c>
      <c r="I113" t="s">
        <v>180</v>
      </c>
      <c r="J113">
        <v>0</v>
      </c>
      <c r="K113">
        <v>0</v>
      </c>
      <c r="L113" t="s">
        <v>3</v>
      </c>
      <c r="M113" t="s">
        <v>3</v>
      </c>
      <c r="N113">
        <v>0</v>
      </c>
    </row>
    <row r="114" spans="1:14" x14ac:dyDescent="0.2">
      <c r="A114">
        <v>70</v>
      </c>
      <c r="B114">
        <v>1</v>
      </c>
      <c r="D114">
        <v>9</v>
      </c>
      <c r="E114" t="s">
        <v>181</v>
      </c>
      <c r="F114" t="s">
        <v>182</v>
      </c>
      <c r="G114">
        <v>0</v>
      </c>
      <c r="H114">
        <v>0</v>
      </c>
      <c r="I114" t="s">
        <v>183</v>
      </c>
      <c r="J114">
        <v>0</v>
      </c>
      <c r="K114">
        <v>0</v>
      </c>
      <c r="L114" t="s">
        <v>3</v>
      </c>
      <c r="M114" t="s">
        <v>3</v>
      </c>
      <c r="N114">
        <v>0</v>
      </c>
    </row>
    <row r="115" spans="1:14" x14ac:dyDescent="0.2">
      <c r="A115">
        <v>70</v>
      </c>
      <c r="B115">
        <v>1</v>
      </c>
      <c r="D115">
        <v>10</v>
      </c>
      <c r="E115" t="s">
        <v>184</v>
      </c>
      <c r="F115" t="s">
        <v>185</v>
      </c>
      <c r="G115">
        <v>0</v>
      </c>
      <c r="H115">
        <v>0</v>
      </c>
      <c r="I115" t="s">
        <v>186</v>
      </c>
      <c r="J115">
        <v>0</v>
      </c>
      <c r="K115">
        <v>0</v>
      </c>
      <c r="L115" t="s">
        <v>3</v>
      </c>
      <c r="M115" t="s">
        <v>3</v>
      </c>
      <c r="N115">
        <v>0</v>
      </c>
    </row>
    <row r="116" spans="1:14" x14ac:dyDescent="0.2">
      <c r="A116">
        <v>70</v>
      </c>
      <c r="B116">
        <v>1</v>
      </c>
      <c r="D116">
        <v>11</v>
      </c>
      <c r="E116" t="s">
        <v>187</v>
      </c>
      <c r="F116" t="s">
        <v>188</v>
      </c>
      <c r="G116">
        <v>0</v>
      </c>
      <c r="H116">
        <v>0</v>
      </c>
      <c r="I116" t="s">
        <v>189</v>
      </c>
      <c r="J116">
        <v>0</v>
      </c>
      <c r="K116">
        <v>0</v>
      </c>
      <c r="L116" t="s">
        <v>3</v>
      </c>
      <c r="M116" t="s">
        <v>3</v>
      </c>
      <c r="N116">
        <v>0</v>
      </c>
    </row>
    <row r="117" spans="1:14" x14ac:dyDescent="0.2">
      <c r="A117">
        <v>70</v>
      </c>
      <c r="B117">
        <v>1</v>
      </c>
      <c r="D117">
        <v>12</v>
      </c>
      <c r="E117" t="s">
        <v>190</v>
      </c>
      <c r="F117" t="s">
        <v>191</v>
      </c>
      <c r="G117">
        <v>0</v>
      </c>
      <c r="H117">
        <v>0</v>
      </c>
      <c r="I117" t="s">
        <v>3</v>
      </c>
      <c r="J117">
        <v>0</v>
      </c>
      <c r="K117">
        <v>0</v>
      </c>
      <c r="L117" t="s">
        <v>3</v>
      </c>
      <c r="M117" t="s">
        <v>3</v>
      </c>
      <c r="N117">
        <v>0</v>
      </c>
    </row>
    <row r="118" spans="1:14" x14ac:dyDescent="0.2">
      <c r="A118">
        <v>70</v>
      </c>
      <c r="B118">
        <v>1</v>
      </c>
      <c r="D118">
        <v>1</v>
      </c>
      <c r="E118" t="s">
        <v>192</v>
      </c>
      <c r="F118" t="s">
        <v>193</v>
      </c>
      <c r="G118">
        <v>0.9</v>
      </c>
      <c r="H118">
        <v>1</v>
      </c>
      <c r="I118" t="s">
        <v>194</v>
      </c>
      <c r="J118">
        <v>0</v>
      </c>
      <c r="K118">
        <v>0</v>
      </c>
      <c r="L118" t="s">
        <v>3</v>
      </c>
      <c r="M118" t="s">
        <v>3</v>
      </c>
      <c r="N118">
        <v>0</v>
      </c>
    </row>
    <row r="119" spans="1:14" x14ac:dyDescent="0.2">
      <c r="A119">
        <v>70</v>
      </c>
      <c r="B119">
        <v>1</v>
      </c>
      <c r="D119">
        <v>2</v>
      </c>
      <c r="E119" t="s">
        <v>195</v>
      </c>
      <c r="F119" t="s">
        <v>196</v>
      </c>
      <c r="G119">
        <v>0.85</v>
      </c>
      <c r="H119">
        <v>1</v>
      </c>
      <c r="I119" t="s">
        <v>197</v>
      </c>
      <c r="J119">
        <v>0</v>
      </c>
      <c r="K119">
        <v>0</v>
      </c>
      <c r="L119" t="s">
        <v>3</v>
      </c>
      <c r="M119" t="s">
        <v>3</v>
      </c>
      <c r="N119">
        <v>0</v>
      </c>
    </row>
    <row r="120" spans="1:14" x14ac:dyDescent="0.2">
      <c r="A120">
        <v>70</v>
      </c>
      <c r="B120">
        <v>1</v>
      </c>
      <c r="D120">
        <v>3</v>
      </c>
      <c r="E120" t="s">
        <v>198</v>
      </c>
      <c r="F120" t="s">
        <v>199</v>
      </c>
      <c r="G120">
        <v>1</v>
      </c>
      <c r="H120">
        <v>0.85</v>
      </c>
      <c r="I120" t="s">
        <v>200</v>
      </c>
      <c r="J120">
        <v>0</v>
      </c>
      <c r="K120">
        <v>0</v>
      </c>
      <c r="L120" t="s">
        <v>3</v>
      </c>
      <c r="M120" t="s">
        <v>3</v>
      </c>
      <c r="N120">
        <v>0</v>
      </c>
    </row>
    <row r="121" spans="1:14" x14ac:dyDescent="0.2">
      <c r="A121">
        <v>70</v>
      </c>
      <c r="B121">
        <v>1</v>
      </c>
      <c r="D121">
        <v>4</v>
      </c>
      <c r="E121" t="s">
        <v>201</v>
      </c>
      <c r="F121" t="s">
        <v>202</v>
      </c>
      <c r="G121">
        <v>1</v>
      </c>
      <c r="H121">
        <v>0</v>
      </c>
      <c r="I121" t="s">
        <v>3</v>
      </c>
      <c r="J121">
        <v>0</v>
      </c>
      <c r="K121">
        <v>0</v>
      </c>
      <c r="L121" t="s">
        <v>3</v>
      </c>
      <c r="M121" t="s">
        <v>3</v>
      </c>
      <c r="N121">
        <v>0</v>
      </c>
    </row>
    <row r="122" spans="1:14" x14ac:dyDescent="0.2">
      <c r="A122">
        <v>70</v>
      </c>
      <c r="B122">
        <v>1</v>
      </c>
      <c r="D122">
        <v>5</v>
      </c>
      <c r="E122" t="s">
        <v>203</v>
      </c>
      <c r="F122" t="s">
        <v>204</v>
      </c>
      <c r="G122">
        <v>1</v>
      </c>
      <c r="H122">
        <v>0.8</v>
      </c>
      <c r="I122" t="s">
        <v>205</v>
      </c>
      <c r="J122">
        <v>0</v>
      </c>
      <c r="K122">
        <v>0</v>
      </c>
      <c r="L122" t="s">
        <v>3</v>
      </c>
      <c r="M122" t="s">
        <v>3</v>
      </c>
      <c r="N122">
        <v>0</v>
      </c>
    </row>
    <row r="123" spans="1:14" x14ac:dyDescent="0.2">
      <c r="A123">
        <v>70</v>
      </c>
      <c r="B123">
        <v>1</v>
      </c>
      <c r="D123">
        <v>6</v>
      </c>
      <c r="E123" t="s">
        <v>206</v>
      </c>
      <c r="F123" t="s">
        <v>207</v>
      </c>
      <c r="G123">
        <v>0.85</v>
      </c>
      <c r="H123">
        <v>0</v>
      </c>
      <c r="I123" t="s">
        <v>3</v>
      </c>
      <c r="J123">
        <v>0</v>
      </c>
      <c r="K123">
        <v>0</v>
      </c>
      <c r="L123" t="s">
        <v>3</v>
      </c>
      <c r="M123" t="s">
        <v>3</v>
      </c>
      <c r="N123">
        <v>0</v>
      </c>
    </row>
    <row r="124" spans="1:14" x14ac:dyDescent="0.2">
      <c r="A124">
        <v>70</v>
      </c>
      <c r="B124">
        <v>1</v>
      </c>
      <c r="D124">
        <v>7</v>
      </c>
      <c r="E124" t="s">
        <v>208</v>
      </c>
      <c r="F124" t="s">
        <v>209</v>
      </c>
      <c r="G124">
        <v>0.8</v>
      </c>
      <c r="H124">
        <v>0</v>
      </c>
      <c r="I124" t="s">
        <v>3</v>
      </c>
      <c r="J124">
        <v>0</v>
      </c>
      <c r="K124">
        <v>0</v>
      </c>
      <c r="L124" t="s">
        <v>3</v>
      </c>
      <c r="M124" t="s">
        <v>3</v>
      </c>
      <c r="N124">
        <v>0</v>
      </c>
    </row>
    <row r="125" spans="1:14" x14ac:dyDescent="0.2">
      <c r="A125">
        <v>70</v>
      </c>
      <c r="B125">
        <v>1</v>
      </c>
      <c r="D125">
        <v>8</v>
      </c>
      <c r="E125" t="s">
        <v>210</v>
      </c>
      <c r="F125" t="s">
        <v>211</v>
      </c>
      <c r="G125">
        <v>0.94</v>
      </c>
      <c r="H125">
        <v>0</v>
      </c>
      <c r="I125" t="s">
        <v>3</v>
      </c>
      <c r="J125">
        <v>0</v>
      </c>
      <c r="K125">
        <v>0</v>
      </c>
      <c r="L125" t="s">
        <v>3</v>
      </c>
      <c r="M125" t="s">
        <v>3</v>
      </c>
      <c r="N125">
        <v>0</v>
      </c>
    </row>
    <row r="126" spans="1:14" x14ac:dyDescent="0.2">
      <c r="A126">
        <v>70</v>
      </c>
      <c r="B126">
        <v>1</v>
      </c>
      <c r="D126">
        <v>9</v>
      </c>
      <c r="E126" t="s">
        <v>212</v>
      </c>
      <c r="F126" t="s">
        <v>213</v>
      </c>
      <c r="G126">
        <v>0.9</v>
      </c>
      <c r="H126">
        <v>0</v>
      </c>
      <c r="I126" t="s">
        <v>3</v>
      </c>
      <c r="J126">
        <v>0</v>
      </c>
      <c r="K126">
        <v>0</v>
      </c>
      <c r="L126" t="s">
        <v>3</v>
      </c>
      <c r="M126" t="s">
        <v>3</v>
      </c>
      <c r="N126">
        <v>0</v>
      </c>
    </row>
    <row r="127" spans="1:14" x14ac:dyDescent="0.2">
      <c r="A127">
        <v>70</v>
      </c>
      <c r="B127">
        <v>1</v>
      </c>
      <c r="D127">
        <v>10</v>
      </c>
      <c r="E127" t="s">
        <v>214</v>
      </c>
      <c r="F127" t="s">
        <v>215</v>
      </c>
      <c r="G127">
        <v>0.6</v>
      </c>
      <c r="H127">
        <v>0</v>
      </c>
      <c r="I127" t="s">
        <v>3</v>
      </c>
      <c r="J127">
        <v>0</v>
      </c>
      <c r="K127">
        <v>0</v>
      </c>
      <c r="L127" t="s">
        <v>3</v>
      </c>
      <c r="M127" t="s">
        <v>3</v>
      </c>
      <c r="N127">
        <v>0</v>
      </c>
    </row>
    <row r="128" spans="1:14" x14ac:dyDescent="0.2">
      <c r="A128">
        <v>70</v>
      </c>
      <c r="B128">
        <v>1</v>
      </c>
      <c r="D128">
        <v>11</v>
      </c>
      <c r="E128" t="s">
        <v>216</v>
      </c>
      <c r="F128" t="s">
        <v>217</v>
      </c>
      <c r="G128">
        <v>1.2</v>
      </c>
      <c r="H128">
        <v>0</v>
      </c>
      <c r="I128" t="s">
        <v>3</v>
      </c>
      <c r="J128">
        <v>0</v>
      </c>
      <c r="K128">
        <v>0</v>
      </c>
      <c r="L128" t="s">
        <v>3</v>
      </c>
      <c r="M128" t="s">
        <v>3</v>
      </c>
      <c r="N128">
        <v>0</v>
      </c>
    </row>
    <row r="129" spans="1:15" x14ac:dyDescent="0.2">
      <c r="A129">
        <v>70</v>
      </c>
      <c r="B129">
        <v>1</v>
      </c>
      <c r="D129">
        <v>12</v>
      </c>
      <c r="E129" t="s">
        <v>218</v>
      </c>
      <c r="F129" t="s">
        <v>219</v>
      </c>
      <c r="G129">
        <v>0</v>
      </c>
      <c r="H129">
        <v>0</v>
      </c>
      <c r="I129" t="s">
        <v>3</v>
      </c>
      <c r="J129">
        <v>0</v>
      </c>
      <c r="K129">
        <v>0</v>
      </c>
      <c r="L129" t="s">
        <v>3</v>
      </c>
      <c r="M129" t="s">
        <v>3</v>
      </c>
      <c r="N129">
        <v>0</v>
      </c>
    </row>
    <row r="130" spans="1:15" x14ac:dyDescent="0.2">
      <c r="A130">
        <v>70</v>
      </c>
      <c r="B130">
        <v>1</v>
      </c>
      <c r="D130">
        <v>13</v>
      </c>
      <c r="E130" t="s">
        <v>220</v>
      </c>
      <c r="F130" t="s">
        <v>221</v>
      </c>
      <c r="G130">
        <v>0.94</v>
      </c>
      <c r="H130">
        <v>0</v>
      </c>
      <c r="I130" t="s">
        <v>3</v>
      </c>
      <c r="J130">
        <v>0</v>
      </c>
      <c r="K130">
        <v>0</v>
      </c>
      <c r="L130" t="s">
        <v>3</v>
      </c>
      <c r="M130" t="s">
        <v>3</v>
      </c>
      <c r="N130">
        <v>0</v>
      </c>
    </row>
    <row r="132" spans="1:15" x14ac:dyDescent="0.2">
      <c r="A132">
        <v>-1</v>
      </c>
    </row>
    <row r="134" spans="1:15" x14ac:dyDescent="0.2">
      <c r="A134" s="3">
        <v>75</v>
      </c>
      <c r="B134" s="3" t="s">
        <v>222</v>
      </c>
      <c r="C134" s="3">
        <v>2017</v>
      </c>
      <c r="D134" s="3">
        <v>0</v>
      </c>
      <c r="E134" s="3">
        <v>12</v>
      </c>
      <c r="F134" s="3">
        <v>0</v>
      </c>
      <c r="G134" s="3">
        <v>0</v>
      </c>
      <c r="H134" s="3">
        <v>1</v>
      </c>
      <c r="I134" s="3">
        <v>0</v>
      </c>
      <c r="J134" s="3">
        <v>1</v>
      </c>
      <c r="K134" s="3">
        <v>0</v>
      </c>
      <c r="L134" s="3">
        <v>0</v>
      </c>
      <c r="M134" s="3">
        <v>0</v>
      </c>
      <c r="N134" s="3">
        <v>27758530</v>
      </c>
      <c r="O134" s="3">
        <v>1</v>
      </c>
    </row>
    <row r="135" spans="1:15" x14ac:dyDescent="0.2">
      <c r="A135" s="5">
        <v>2</v>
      </c>
      <c r="B135" s="5" t="s">
        <v>223</v>
      </c>
      <c r="C135" s="5" t="s">
        <v>224</v>
      </c>
      <c r="D135" s="5">
        <v>0</v>
      </c>
      <c r="E135" s="5">
        <v>0</v>
      </c>
    </row>
    <row r="139" spans="1:15" x14ac:dyDescent="0.2">
      <c r="A139">
        <v>65</v>
      </c>
      <c r="C139">
        <v>1</v>
      </c>
      <c r="D139">
        <v>0</v>
      </c>
      <c r="E13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3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225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52906</v>
      </c>
      <c r="M1">
        <v>19366984</v>
      </c>
    </row>
    <row r="12" spans="1:133" x14ac:dyDescent="0.2">
      <c r="A12" s="1">
        <v>1</v>
      </c>
      <c r="B12" s="1">
        <v>52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3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11</v>
      </c>
      <c r="CC12" s="1" t="s">
        <v>10</v>
      </c>
      <c r="CD12" s="1" t="s">
        <v>10</v>
      </c>
      <c r="CE12" s="1" t="s">
        <v>12</v>
      </c>
      <c r="CF12" s="1">
        <v>0</v>
      </c>
      <c r="CG12" s="1">
        <v>0</v>
      </c>
      <c r="CH12" s="1">
        <v>12296</v>
      </c>
      <c r="CI12" s="1" t="s">
        <v>3</v>
      </c>
      <c r="CJ12" s="1" t="s">
        <v>3</v>
      </c>
      <c r="CK12" s="1">
        <v>8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27758530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13</v>
      </c>
      <c r="D16" s="6" t="s">
        <v>13</v>
      </c>
      <c r="E16" s="7">
        <f>(Source!F60)/1000</f>
        <v>1416.7560000000001</v>
      </c>
      <c r="F16" s="7">
        <f>(Source!F61)/1000</f>
        <v>0</v>
      </c>
      <c r="G16" s="7">
        <f>(Source!F52)/1000</f>
        <v>0</v>
      </c>
      <c r="H16" s="7">
        <f>(Source!F62)/1000+(Source!F63)/1000</f>
        <v>0</v>
      </c>
      <c r="I16" s="7">
        <f>E16+F16+G16+H16</f>
        <v>1416.7560000000001</v>
      </c>
      <c r="J16" s="7">
        <f>(Source!F58)/1000</f>
        <v>39.454000000000001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1345144</v>
      </c>
      <c r="AU16" s="7">
        <v>1221269</v>
      </c>
      <c r="AV16" s="7">
        <v>0</v>
      </c>
      <c r="AW16" s="7">
        <v>0</v>
      </c>
      <c r="AX16" s="7">
        <v>0</v>
      </c>
      <c r="AY16" s="7">
        <v>84421</v>
      </c>
      <c r="AZ16" s="7">
        <v>6443</v>
      </c>
      <c r="BA16" s="7">
        <v>39454</v>
      </c>
      <c r="BB16" s="7">
        <v>1416756</v>
      </c>
      <c r="BC16" s="7">
        <v>0</v>
      </c>
      <c r="BD16" s="7">
        <v>0</v>
      </c>
      <c r="BE16" s="7">
        <v>0</v>
      </c>
      <c r="BF16" s="7">
        <v>242</v>
      </c>
      <c r="BG16" s="7">
        <v>23</v>
      </c>
      <c r="BH16" s="7">
        <v>500</v>
      </c>
      <c r="BI16" s="7">
        <v>45210</v>
      </c>
      <c r="BJ16" s="7">
        <v>26402</v>
      </c>
      <c r="BK16" s="7">
        <v>1700107</v>
      </c>
    </row>
    <row r="18" spans="1:19" x14ac:dyDescent="0.2">
      <c r="A18">
        <v>51</v>
      </c>
      <c r="E18" s="8">
        <f>SUMIF(A16:A17,3,E16:E17)</f>
        <v>1416.7560000000001</v>
      </c>
      <c r="F18" s="8">
        <f>SUMIF(A16:A17,3,F16:F17)</f>
        <v>0</v>
      </c>
      <c r="G18" s="8">
        <f>SUMIF(A16:A17,3,G16:G17)</f>
        <v>0</v>
      </c>
      <c r="H18" s="8">
        <f>SUMIF(A16:A17,3,H16:H17)</f>
        <v>0</v>
      </c>
      <c r="I18" s="8">
        <f>SUMIF(A16:A17,3,I16:I17)</f>
        <v>1416.7560000000001</v>
      </c>
      <c r="J18" s="8">
        <f>SUMIF(A16:A17,3,J16:J17)</f>
        <v>39.454000000000001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1345144</v>
      </c>
      <c r="G20" s="4" t="s">
        <v>105</v>
      </c>
      <c r="H20" s="4" t="s">
        <v>106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0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1221269</v>
      </c>
      <c r="G21" s="4" t="s">
        <v>107</v>
      </c>
      <c r="H21" s="4" t="s">
        <v>108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0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109</v>
      </c>
      <c r="H22" s="4" t="s">
        <v>110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0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1221269</v>
      </c>
      <c r="G23" s="4" t="s">
        <v>111</v>
      </c>
      <c r="H23" s="4" t="s">
        <v>112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0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1221269</v>
      </c>
      <c r="G24" s="4" t="s">
        <v>113</v>
      </c>
      <c r="H24" s="4" t="s">
        <v>114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0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115</v>
      </c>
      <c r="H25" s="4" t="s">
        <v>116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0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1221269</v>
      </c>
      <c r="G26" s="4" t="s">
        <v>117</v>
      </c>
      <c r="H26" s="4" t="s">
        <v>118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0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119</v>
      </c>
      <c r="H27" s="4" t="s">
        <v>120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0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121</v>
      </c>
      <c r="H28" s="4" t="s">
        <v>122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0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123</v>
      </c>
      <c r="H29" s="4" t="s">
        <v>124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0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84421</v>
      </c>
      <c r="G30" s="4" t="s">
        <v>125</v>
      </c>
      <c r="H30" s="4" t="s">
        <v>126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0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127</v>
      </c>
      <c r="H31" s="4" t="s">
        <v>128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0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6443</v>
      </c>
      <c r="G32" s="4" t="s">
        <v>129</v>
      </c>
      <c r="H32" s="4" t="s">
        <v>130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0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39454</v>
      </c>
      <c r="G33" s="4" t="s">
        <v>131</v>
      </c>
      <c r="H33" s="4" t="s">
        <v>132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0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133</v>
      </c>
      <c r="H34" s="4" t="s">
        <v>134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0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1416756</v>
      </c>
      <c r="G35" s="4" t="s">
        <v>135</v>
      </c>
      <c r="H35" s="4" t="s">
        <v>136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0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137</v>
      </c>
      <c r="H36" s="4" t="s">
        <v>138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0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139</v>
      </c>
      <c r="H37" s="4" t="s">
        <v>140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0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141</v>
      </c>
      <c r="H38" s="4" t="s">
        <v>142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0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143</v>
      </c>
      <c r="H39" s="4" t="s">
        <v>144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0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242.42370000000003</v>
      </c>
      <c r="G40" s="4" t="s">
        <v>145</v>
      </c>
      <c r="H40" s="4" t="s">
        <v>146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22.899399999999996</v>
      </c>
      <c r="G41" s="4" t="s">
        <v>147</v>
      </c>
      <c r="H41" s="4" t="s">
        <v>148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500</v>
      </c>
      <c r="G42" s="4" t="s">
        <v>149</v>
      </c>
      <c r="H42" s="4" t="s">
        <v>150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0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45210</v>
      </c>
      <c r="G43" s="4" t="s">
        <v>151</v>
      </c>
      <c r="H43" s="4" t="s">
        <v>152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0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26402</v>
      </c>
      <c r="G44" s="4" t="s">
        <v>153</v>
      </c>
      <c r="H44" s="4" t="s">
        <v>154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0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0</v>
      </c>
      <c r="F45" s="4">
        <v>1416756</v>
      </c>
      <c r="G45" s="4" t="s">
        <v>155</v>
      </c>
      <c r="H45" s="4" t="s">
        <v>156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0</v>
      </c>
      <c r="P45" s="4"/>
    </row>
    <row r="46" spans="1:16" x14ac:dyDescent="0.2">
      <c r="A46" s="4">
        <v>50</v>
      </c>
      <c r="B46" s="4">
        <f>IF(SourceObSm!F46&lt;&gt;0,1,0)</f>
        <v>1</v>
      </c>
      <c r="C46" s="4">
        <v>0</v>
      </c>
      <c r="D46" s="4">
        <v>2</v>
      </c>
      <c r="E46" s="4">
        <v>0</v>
      </c>
      <c r="F46" s="4">
        <v>283351</v>
      </c>
      <c r="G46" s="4" t="s">
        <v>157</v>
      </c>
      <c r="H46" s="4" t="s">
        <v>158</v>
      </c>
      <c r="I46" s="4"/>
      <c r="J46" s="4"/>
      <c r="K46" s="4">
        <v>212</v>
      </c>
      <c r="L46" s="4">
        <v>27</v>
      </c>
      <c r="M46" s="4">
        <v>1</v>
      </c>
      <c r="N46" s="4" t="s">
        <v>3</v>
      </c>
      <c r="O46" s="4">
        <v>0</v>
      </c>
      <c r="P46" s="4"/>
    </row>
    <row r="47" spans="1:16" x14ac:dyDescent="0.2">
      <c r="A47" s="4">
        <v>50</v>
      </c>
      <c r="B47" s="4">
        <f>IF(SourceObSm!F47&lt;&gt;0,1,0)</f>
        <v>1</v>
      </c>
      <c r="C47" s="4">
        <v>0</v>
      </c>
      <c r="D47" s="4">
        <v>2</v>
      </c>
      <c r="E47" s="4">
        <v>224</v>
      </c>
      <c r="F47" s="4">
        <v>1700107</v>
      </c>
      <c r="G47" s="4" t="s">
        <v>159</v>
      </c>
      <c r="H47" s="4" t="s">
        <v>160</v>
      </c>
      <c r="I47" s="4"/>
      <c r="J47" s="4"/>
      <c r="K47" s="4">
        <v>212</v>
      </c>
      <c r="L47" s="4">
        <v>28</v>
      </c>
      <c r="M47" s="4">
        <v>1</v>
      </c>
      <c r="N47" s="4" t="s">
        <v>3</v>
      </c>
      <c r="O47" s="4">
        <v>0</v>
      </c>
      <c r="P47" s="4"/>
    </row>
    <row r="49" spans="1:15" x14ac:dyDescent="0.2">
      <c r="A49">
        <v>-1</v>
      </c>
    </row>
    <row r="52" spans="1:15" x14ac:dyDescent="0.2">
      <c r="A52" s="3">
        <v>75</v>
      </c>
      <c r="B52" s="3" t="s">
        <v>222</v>
      </c>
      <c r="C52" s="3">
        <v>2017</v>
      </c>
      <c r="D52" s="3">
        <v>0</v>
      </c>
      <c r="E52" s="3">
        <v>12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27758530</v>
      </c>
      <c r="O52" s="3">
        <v>1</v>
      </c>
    </row>
    <row r="53" spans="1:15" x14ac:dyDescent="0.2">
      <c r="A53" s="5">
        <v>2</v>
      </c>
      <c r="B53" s="5" t="s">
        <v>223</v>
      </c>
      <c r="C53" s="5" t="s">
        <v>224</v>
      </c>
      <c r="D53" s="5">
        <v>0</v>
      </c>
      <c r="E53" s="5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27758530</v>
      </c>
      <c r="C1">
        <v>27758592</v>
      </c>
      <c r="D1">
        <v>9255446</v>
      </c>
      <c r="E1">
        <v>1</v>
      </c>
      <c r="F1">
        <v>1</v>
      </c>
      <c r="G1">
        <v>1</v>
      </c>
      <c r="H1">
        <v>1</v>
      </c>
      <c r="I1" t="s">
        <v>226</v>
      </c>
      <c r="J1" t="s">
        <v>3</v>
      </c>
      <c r="K1" t="s">
        <v>227</v>
      </c>
      <c r="L1">
        <v>1369</v>
      </c>
      <c r="N1">
        <v>1013</v>
      </c>
      <c r="O1" t="s">
        <v>228</v>
      </c>
      <c r="P1" t="s">
        <v>228</v>
      </c>
      <c r="Q1">
        <v>1</v>
      </c>
      <c r="W1">
        <v>0</v>
      </c>
      <c r="X1">
        <v>911555194</v>
      </c>
      <c r="Y1">
        <v>4.6900000000000004</v>
      </c>
      <c r="AA1">
        <v>0</v>
      </c>
      <c r="AB1">
        <v>0</v>
      </c>
      <c r="AC1">
        <v>0</v>
      </c>
      <c r="AD1">
        <v>193.32</v>
      </c>
      <c r="AE1">
        <v>0</v>
      </c>
      <c r="AF1">
        <v>0</v>
      </c>
      <c r="AG1">
        <v>0</v>
      </c>
      <c r="AH1">
        <v>193.32</v>
      </c>
      <c r="AI1">
        <f>' 8-гр. ЛС 1 (2)'!G22</f>
        <v>193.32</v>
      </c>
      <c r="AJ1">
        <v>1</v>
      </c>
      <c r="AK1">
        <f>ROUND(Y1*AI1,4)</f>
        <v>906.67079999999999</v>
      </c>
      <c r="AL1">
        <v>1</v>
      </c>
      <c r="AN1">
        <v>0</v>
      </c>
      <c r="AO1">
        <v>0</v>
      </c>
      <c r="AP1">
        <v>0</v>
      </c>
      <c r="AQ1">
        <v>1</v>
      </c>
      <c r="AR1">
        <v>0</v>
      </c>
      <c r="AS1" t="s">
        <v>3</v>
      </c>
      <c r="AT1">
        <v>4.6900000000000004</v>
      </c>
      <c r="AU1" t="s">
        <v>3</v>
      </c>
      <c r="AV1">
        <v>1</v>
      </c>
      <c r="AW1">
        <v>2</v>
      </c>
      <c r="AX1">
        <v>27758606</v>
      </c>
      <c r="AY1">
        <v>1</v>
      </c>
      <c r="AZ1">
        <v>0</v>
      </c>
      <c r="BA1">
        <v>1</v>
      </c>
      <c r="BB1">
        <v>1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906.6708000000001</v>
      </c>
      <c r="BN1">
        <v>4.6900000000000004</v>
      </c>
      <c r="BO1">
        <v>0</v>
      </c>
      <c r="BP1">
        <v>1</v>
      </c>
      <c r="BQ1">
        <v>0</v>
      </c>
      <c r="BR1">
        <v>0</v>
      </c>
      <c r="BS1">
        <v>0</v>
      </c>
      <c r="BT1">
        <f>' 8-гр. ЛС 1 (2)'!G22*SmtRes!Y1</f>
        <v>906.6708000000001</v>
      </c>
      <c r="BU1">
        <v>4.6900000000000004</v>
      </c>
      <c r="BV1">
        <v>0</v>
      </c>
      <c r="BW1">
        <v>1</v>
      </c>
      <c r="CX1">
        <f>Y1*Source!I24</f>
        <v>6.5659999999999998</v>
      </c>
      <c r="CY1">
        <f>AD1</f>
        <v>193.32</v>
      </c>
      <c r="CZ1">
        <f>AH1</f>
        <v>193.32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27758530</v>
      </c>
      <c r="C2">
        <v>27758592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24</v>
      </c>
      <c r="J2" t="s">
        <v>3</v>
      </c>
      <c r="K2" t="s">
        <v>229</v>
      </c>
      <c r="L2">
        <v>608254</v>
      </c>
      <c r="N2">
        <v>1013</v>
      </c>
      <c r="O2" t="s">
        <v>230</v>
      </c>
      <c r="P2" t="s">
        <v>230</v>
      </c>
      <c r="Q2">
        <v>1</v>
      </c>
      <c r="W2">
        <v>0</v>
      </c>
      <c r="X2">
        <v>-185737400</v>
      </c>
      <c r="Y2">
        <v>2.4900000000000002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f>' 8-гр. ЛС 1 (2)'!G23</f>
        <v>0</v>
      </c>
      <c r="AJ2">
        <v>1</v>
      </c>
      <c r="AK2">
        <f>AVERAGE(AH3*Y3,AH4*Y4,AH5*Y5,AH6*Y6,AH7*Y7,AH8*Y8)*Source!I24</f>
        <v>189.01946000000001</v>
      </c>
      <c r="AL2">
        <v>1</v>
      </c>
      <c r="AN2">
        <v>0</v>
      </c>
      <c r="AO2">
        <v>0</v>
      </c>
      <c r="AP2">
        <v>0</v>
      </c>
      <c r="AQ2">
        <v>1</v>
      </c>
      <c r="AR2">
        <v>0</v>
      </c>
      <c r="AS2" t="s">
        <v>3</v>
      </c>
      <c r="AT2">
        <v>2.4900000000000002</v>
      </c>
      <c r="AU2" t="s">
        <v>3</v>
      </c>
      <c r="AV2">
        <v>2</v>
      </c>
      <c r="AW2">
        <v>2</v>
      </c>
      <c r="AX2">
        <v>27758607</v>
      </c>
      <c r="AY2">
        <v>1</v>
      </c>
      <c r="AZ2">
        <v>0</v>
      </c>
      <c r="BA2">
        <v>2</v>
      </c>
      <c r="BB2">
        <v>1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2.4900000000000002</v>
      </c>
      <c r="BP2">
        <v>1</v>
      </c>
      <c r="BQ2">
        <v>0</v>
      </c>
      <c r="BR2">
        <v>0</v>
      </c>
      <c r="BS2">
        <v>0</v>
      </c>
      <c r="BT2">
        <f>' 8-гр. ЛС 1 (2)'!G23*SmtRes!Y2</f>
        <v>0</v>
      </c>
      <c r="BU2">
        <v>0</v>
      </c>
      <c r="BV2">
        <v>2.4900000000000002</v>
      </c>
      <c r="BW2">
        <v>1</v>
      </c>
      <c r="CX2">
        <f>Y2*Source!I24</f>
        <v>3.4860000000000002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27758530</v>
      </c>
      <c r="C3">
        <v>27758592</v>
      </c>
      <c r="D3">
        <v>15709293</v>
      </c>
      <c r="E3">
        <v>1</v>
      </c>
      <c r="F3">
        <v>1</v>
      </c>
      <c r="G3">
        <v>1</v>
      </c>
      <c r="H3">
        <v>2</v>
      </c>
      <c r="I3" t="s">
        <v>231</v>
      </c>
      <c r="J3" t="s">
        <v>232</v>
      </c>
      <c r="K3" t="s">
        <v>233</v>
      </c>
      <c r="L3">
        <v>1368</v>
      </c>
      <c r="N3">
        <v>1011</v>
      </c>
      <c r="O3" t="s">
        <v>234</v>
      </c>
      <c r="P3" t="s">
        <v>234</v>
      </c>
      <c r="Q3">
        <v>1</v>
      </c>
      <c r="W3">
        <v>0</v>
      </c>
      <c r="X3">
        <v>-1325471844</v>
      </c>
      <c r="Y3">
        <v>0.03</v>
      </c>
      <c r="AA3">
        <v>0</v>
      </c>
      <c r="AB3">
        <v>661.15</v>
      </c>
      <c r="AC3">
        <v>274.41000000000003</v>
      </c>
      <c r="AD3">
        <v>0</v>
      </c>
      <c r="AE3">
        <v>0</v>
      </c>
      <c r="AF3">
        <v>661.15</v>
      </c>
      <c r="AG3">
        <f>' 8-гр. ЛС 1 (2)'!G25</f>
        <v>661.15</v>
      </c>
      <c r="AH3">
        <f>' 8-гр. ЛС 1 (2)'!G26</f>
        <v>274.41000000000003</v>
      </c>
      <c r="AJ3">
        <v>1</v>
      </c>
      <c r="AK3">
        <f t="shared" ref="AK3:AK8" si="0">ROUND(Y3*AG3,4)</f>
        <v>19.834499999999998</v>
      </c>
      <c r="AL3">
        <v>1</v>
      </c>
      <c r="AN3">
        <v>0</v>
      </c>
      <c r="AO3">
        <v>0</v>
      </c>
      <c r="AP3">
        <v>0</v>
      </c>
      <c r="AQ3">
        <v>1</v>
      </c>
      <c r="AR3">
        <v>0</v>
      </c>
      <c r="AS3" t="s">
        <v>3</v>
      </c>
      <c r="AT3">
        <v>0.03</v>
      </c>
      <c r="AU3" t="s">
        <v>3</v>
      </c>
      <c r="AV3">
        <v>0</v>
      </c>
      <c r="AW3">
        <v>2</v>
      </c>
      <c r="AX3">
        <v>27758608</v>
      </c>
      <c r="AY3">
        <v>1</v>
      </c>
      <c r="AZ3">
        <v>0</v>
      </c>
      <c r="BA3">
        <v>3</v>
      </c>
      <c r="BB3">
        <v>1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19.834499999999998</v>
      </c>
      <c r="BL3">
        <v>8.2323000000000004</v>
      </c>
      <c r="BM3">
        <v>0</v>
      </c>
      <c r="BN3">
        <v>0</v>
      </c>
      <c r="BO3">
        <v>0</v>
      </c>
      <c r="BP3">
        <v>1</v>
      </c>
      <c r="BQ3">
        <v>0</v>
      </c>
      <c r="BR3">
        <f>' 8-гр. ЛС 1 (2)'!G25*SmtRes!Y3</f>
        <v>19.834499999999998</v>
      </c>
      <c r="BS3">
        <f>' 8-гр. ЛС 1 (2)'!G26*SmtRes!Y3</f>
        <v>8.2323000000000004</v>
      </c>
      <c r="BT3">
        <v>0</v>
      </c>
      <c r="BU3">
        <v>0</v>
      </c>
      <c r="BV3">
        <v>0</v>
      </c>
      <c r="BW3">
        <v>1</v>
      </c>
      <c r="CX3">
        <f>Y3*Source!I24</f>
        <v>4.1999999999999996E-2</v>
      </c>
      <c r="CY3">
        <f t="shared" ref="CY3:CY8" si="1">AB3</f>
        <v>661.15</v>
      </c>
      <c r="CZ3">
        <f t="shared" ref="CZ3:CZ8" si="2">AF3</f>
        <v>661.15</v>
      </c>
      <c r="DA3">
        <f t="shared" ref="DA3:DA8" si="3">AJ3</f>
        <v>1</v>
      </c>
      <c r="DB3">
        <v>0</v>
      </c>
    </row>
    <row r="4" spans="1:106" x14ac:dyDescent="0.2">
      <c r="A4">
        <f>ROW(Source!A24)</f>
        <v>24</v>
      </c>
      <c r="B4">
        <v>27758530</v>
      </c>
      <c r="C4">
        <v>27758592</v>
      </c>
      <c r="D4">
        <v>15710133</v>
      </c>
      <c r="E4">
        <v>1</v>
      </c>
      <c r="F4">
        <v>1</v>
      </c>
      <c r="G4">
        <v>1</v>
      </c>
      <c r="H4">
        <v>2</v>
      </c>
      <c r="I4" t="s">
        <v>235</v>
      </c>
      <c r="J4" t="s">
        <v>236</v>
      </c>
      <c r="K4" t="s">
        <v>237</v>
      </c>
      <c r="L4">
        <v>1368</v>
      </c>
      <c r="N4">
        <v>1011</v>
      </c>
      <c r="O4" t="s">
        <v>234</v>
      </c>
      <c r="P4" t="s">
        <v>234</v>
      </c>
      <c r="Q4">
        <v>1</v>
      </c>
      <c r="W4">
        <v>0</v>
      </c>
      <c r="X4">
        <v>1189455547</v>
      </c>
      <c r="Y4">
        <v>1.97</v>
      </c>
      <c r="AA4">
        <v>0</v>
      </c>
      <c r="AB4">
        <v>1140.3900000000001</v>
      </c>
      <c r="AC4">
        <v>334.22</v>
      </c>
      <c r="AD4">
        <v>0</v>
      </c>
      <c r="AE4">
        <v>0</v>
      </c>
      <c r="AF4">
        <v>1140.3900000000001</v>
      </c>
      <c r="AG4">
        <f>' 8-гр. ЛС 1 (2)'!G27</f>
        <v>1140.3900000000001</v>
      </c>
      <c r="AH4">
        <f>' 8-гр. ЛС 1 (2)'!G28</f>
        <v>334.22</v>
      </c>
      <c r="AJ4">
        <v>1</v>
      </c>
      <c r="AK4">
        <f t="shared" si="0"/>
        <v>2246.5682999999999</v>
      </c>
      <c r="AL4">
        <v>1</v>
      </c>
      <c r="AN4">
        <v>0</v>
      </c>
      <c r="AO4">
        <v>0</v>
      </c>
      <c r="AP4">
        <v>0</v>
      </c>
      <c r="AQ4">
        <v>1</v>
      </c>
      <c r="AR4">
        <v>0</v>
      </c>
      <c r="AS4" t="s">
        <v>3</v>
      </c>
      <c r="AT4">
        <v>1.97</v>
      </c>
      <c r="AU4" t="s">
        <v>3</v>
      </c>
      <c r="AV4">
        <v>0</v>
      </c>
      <c r="AW4">
        <v>2</v>
      </c>
      <c r="AX4">
        <v>27758609</v>
      </c>
      <c r="AY4">
        <v>1</v>
      </c>
      <c r="AZ4">
        <v>0</v>
      </c>
      <c r="BA4">
        <v>4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2246.5683000000004</v>
      </c>
      <c r="BL4">
        <v>658.41340000000002</v>
      </c>
      <c r="BM4">
        <v>0</v>
      </c>
      <c r="BN4">
        <v>0</v>
      </c>
      <c r="BO4">
        <v>0</v>
      </c>
      <c r="BP4">
        <v>1</v>
      </c>
      <c r="BQ4">
        <v>0</v>
      </c>
      <c r="BR4">
        <f>' 8-гр. ЛС 1 (2)'!G27*SmtRes!Y4</f>
        <v>2246.5683000000004</v>
      </c>
      <c r="BS4">
        <f>' 8-гр. ЛС 1 (2)'!G28*SmtRes!Y4</f>
        <v>658.41340000000002</v>
      </c>
      <c r="BT4">
        <v>0</v>
      </c>
      <c r="BU4">
        <v>0</v>
      </c>
      <c r="BV4">
        <v>0</v>
      </c>
      <c r="BW4">
        <v>1</v>
      </c>
      <c r="CX4">
        <f>Y4*Source!I24</f>
        <v>2.758</v>
      </c>
      <c r="CY4">
        <f t="shared" si="1"/>
        <v>1140.3900000000001</v>
      </c>
      <c r="CZ4">
        <f t="shared" si="2"/>
        <v>1140.3900000000001</v>
      </c>
      <c r="DA4">
        <f t="shared" si="3"/>
        <v>1</v>
      </c>
      <c r="DB4">
        <v>0</v>
      </c>
    </row>
    <row r="5" spans="1:106" x14ac:dyDescent="0.2">
      <c r="A5">
        <f>ROW(Source!A24)</f>
        <v>24</v>
      </c>
      <c r="B5">
        <v>27758530</v>
      </c>
      <c r="C5">
        <v>27758592</v>
      </c>
      <c r="D5">
        <v>15710150</v>
      </c>
      <c r="E5">
        <v>1</v>
      </c>
      <c r="F5">
        <v>1</v>
      </c>
      <c r="G5">
        <v>1</v>
      </c>
      <c r="H5">
        <v>2</v>
      </c>
      <c r="I5" t="s">
        <v>238</v>
      </c>
      <c r="J5" t="s">
        <v>239</v>
      </c>
      <c r="K5" t="s">
        <v>240</v>
      </c>
      <c r="L5">
        <v>1368</v>
      </c>
      <c r="N5">
        <v>1011</v>
      </c>
      <c r="O5" t="s">
        <v>234</v>
      </c>
      <c r="P5" t="s">
        <v>234</v>
      </c>
      <c r="Q5">
        <v>1</v>
      </c>
      <c r="W5">
        <v>0</v>
      </c>
      <c r="X5">
        <v>-2090366484</v>
      </c>
      <c r="Y5">
        <v>1.97</v>
      </c>
      <c r="AA5">
        <v>0</v>
      </c>
      <c r="AB5">
        <v>501.83</v>
      </c>
      <c r="AC5">
        <v>0</v>
      </c>
      <c r="AD5">
        <v>0</v>
      </c>
      <c r="AE5">
        <v>0</v>
      </c>
      <c r="AF5">
        <v>501.83</v>
      </c>
      <c r="AG5">
        <f>' 8-гр. ЛС 1 (2)'!G29</f>
        <v>501.83</v>
      </c>
      <c r="AH5">
        <f>ROUND(AC5,2)</f>
        <v>0</v>
      </c>
      <c r="AJ5">
        <v>1</v>
      </c>
      <c r="AK5">
        <f t="shared" si="0"/>
        <v>988.60509999999999</v>
      </c>
      <c r="AL5">
        <v>1</v>
      </c>
      <c r="AN5">
        <v>0</v>
      </c>
      <c r="AO5">
        <v>0</v>
      </c>
      <c r="AP5">
        <v>0</v>
      </c>
      <c r="AQ5">
        <v>1</v>
      </c>
      <c r="AR5">
        <v>0</v>
      </c>
      <c r="AS5" t="s">
        <v>3</v>
      </c>
      <c r="AT5">
        <v>1.97</v>
      </c>
      <c r="AU5" t="s">
        <v>3</v>
      </c>
      <c r="AV5">
        <v>0</v>
      </c>
      <c r="AW5">
        <v>2</v>
      </c>
      <c r="AX5">
        <v>27758610</v>
      </c>
      <c r="AY5">
        <v>1</v>
      </c>
      <c r="AZ5">
        <v>0</v>
      </c>
      <c r="BA5">
        <v>5</v>
      </c>
      <c r="BB5">
        <v>1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988.60509999999999</v>
      </c>
      <c r="BL5">
        <v>0</v>
      </c>
      <c r="BM5">
        <v>0</v>
      </c>
      <c r="BN5">
        <v>0</v>
      </c>
      <c r="BO5">
        <v>0</v>
      </c>
      <c r="BP5">
        <v>1</v>
      </c>
      <c r="BQ5">
        <v>0</v>
      </c>
      <c r="BR5">
        <f>' 8-гр. ЛС 1 (2)'!G29*SmtRes!Y5</f>
        <v>988.60509999999999</v>
      </c>
      <c r="BS5">
        <v>0</v>
      </c>
      <c r="BT5">
        <v>0</v>
      </c>
      <c r="BU5">
        <v>0</v>
      </c>
      <c r="BV5">
        <v>0</v>
      </c>
      <c r="BW5">
        <v>1</v>
      </c>
      <c r="CX5">
        <f>Y5*Source!I24</f>
        <v>2.758</v>
      </c>
      <c r="CY5">
        <f t="shared" si="1"/>
        <v>501.83</v>
      </c>
      <c r="CZ5">
        <f t="shared" si="2"/>
        <v>501.83</v>
      </c>
      <c r="DA5">
        <f t="shared" si="3"/>
        <v>1</v>
      </c>
      <c r="DB5">
        <v>0</v>
      </c>
    </row>
    <row r="6" spans="1:106" x14ac:dyDescent="0.2">
      <c r="A6">
        <f>ROW(Source!A24)</f>
        <v>24</v>
      </c>
      <c r="B6">
        <v>27758530</v>
      </c>
      <c r="C6">
        <v>27758592</v>
      </c>
      <c r="D6">
        <v>15710198</v>
      </c>
      <c r="E6">
        <v>1</v>
      </c>
      <c r="F6">
        <v>1</v>
      </c>
      <c r="G6">
        <v>1</v>
      </c>
      <c r="H6">
        <v>2</v>
      </c>
      <c r="I6" t="s">
        <v>241</v>
      </c>
      <c r="J6" t="s">
        <v>242</v>
      </c>
      <c r="K6" t="s">
        <v>243</v>
      </c>
      <c r="L6">
        <v>1368</v>
      </c>
      <c r="N6">
        <v>1011</v>
      </c>
      <c r="O6" t="s">
        <v>234</v>
      </c>
      <c r="P6" t="s">
        <v>234</v>
      </c>
      <c r="Q6">
        <v>1</v>
      </c>
      <c r="W6">
        <v>0</v>
      </c>
      <c r="X6">
        <v>2038222125</v>
      </c>
      <c r="Y6">
        <v>0.49</v>
      </c>
      <c r="AA6">
        <v>0</v>
      </c>
      <c r="AB6">
        <v>1262.02</v>
      </c>
      <c r="AC6">
        <v>292.73</v>
      </c>
      <c r="AD6">
        <v>0</v>
      </c>
      <c r="AE6">
        <v>0</v>
      </c>
      <c r="AF6">
        <v>1262.02</v>
      </c>
      <c r="AG6">
        <f>' 8-гр. ЛС 1 (2)'!G30</f>
        <v>1262.02</v>
      </c>
      <c r="AH6">
        <f>' 8-гр. ЛС 1 (2)'!G31</f>
        <v>292.73</v>
      </c>
      <c r="AJ6">
        <v>1</v>
      </c>
      <c r="AK6">
        <f t="shared" si="0"/>
        <v>618.38980000000004</v>
      </c>
      <c r="AL6">
        <v>1</v>
      </c>
      <c r="AN6">
        <v>0</v>
      </c>
      <c r="AO6">
        <v>0</v>
      </c>
      <c r="AP6">
        <v>0</v>
      </c>
      <c r="AQ6">
        <v>1</v>
      </c>
      <c r="AR6">
        <v>0</v>
      </c>
      <c r="AS6" t="s">
        <v>3</v>
      </c>
      <c r="AT6">
        <v>0.49</v>
      </c>
      <c r="AU6" t="s">
        <v>3</v>
      </c>
      <c r="AV6">
        <v>0</v>
      </c>
      <c r="AW6">
        <v>2</v>
      </c>
      <c r="AX6">
        <v>27758611</v>
      </c>
      <c r="AY6">
        <v>1</v>
      </c>
      <c r="AZ6">
        <v>0</v>
      </c>
      <c r="BA6">
        <v>6</v>
      </c>
      <c r="BB6">
        <v>1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618.38980000000004</v>
      </c>
      <c r="BL6">
        <v>143.43770000000001</v>
      </c>
      <c r="BM6">
        <v>0</v>
      </c>
      <c r="BN6">
        <v>0</v>
      </c>
      <c r="BO6">
        <v>0</v>
      </c>
      <c r="BP6">
        <v>1</v>
      </c>
      <c r="BQ6">
        <v>0</v>
      </c>
      <c r="BR6">
        <f>' 8-гр. ЛС 1 (2)'!G30*SmtRes!Y6</f>
        <v>618.38980000000004</v>
      </c>
      <c r="BS6">
        <f>' 8-гр. ЛС 1 (2)'!G31*SmtRes!Y6</f>
        <v>143.43770000000001</v>
      </c>
      <c r="BT6">
        <v>0</v>
      </c>
      <c r="BU6">
        <v>0</v>
      </c>
      <c r="BV6">
        <v>0</v>
      </c>
      <c r="BW6">
        <v>1</v>
      </c>
      <c r="CX6">
        <f>Y6*Source!I24</f>
        <v>0.68599999999999994</v>
      </c>
      <c r="CY6">
        <f t="shared" si="1"/>
        <v>1262.02</v>
      </c>
      <c r="CZ6">
        <f t="shared" si="2"/>
        <v>1262.02</v>
      </c>
      <c r="DA6">
        <f t="shared" si="3"/>
        <v>1</v>
      </c>
      <c r="DB6">
        <v>0</v>
      </c>
    </row>
    <row r="7" spans="1:106" x14ac:dyDescent="0.2">
      <c r="A7">
        <f>ROW(Source!A24)</f>
        <v>24</v>
      </c>
      <c r="B7">
        <v>27758530</v>
      </c>
      <c r="C7">
        <v>27758592</v>
      </c>
      <c r="D7">
        <v>15711276</v>
      </c>
      <c r="E7">
        <v>1</v>
      </c>
      <c r="F7">
        <v>1</v>
      </c>
      <c r="G7">
        <v>1</v>
      </c>
      <c r="H7">
        <v>2</v>
      </c>
      <c r="I7" t="s">
        <v>244</v>
      </c>
      <c r="J7" t="s">
        <v>245</v>
      </c>
      <c r="K7" t="s">
        <v>246</v>
      </c>
      <c r="L7">
        <v>1368</v>
      </c>
      <c r="N7">
        <v>1011</v>
      </c>
      <c r="O7" t="s">
        <v>234</v>
      </c>
      <c r="P7" t="s">
        <v>234</v>
      </c>
      <c r="Q7">
        <v>1</v>
      </c>
      <c r="W7">
        <v>0</v>
      </c>
      <c r="X7">
        <v>1057978334</v>
      </c>
      <c r="Y7">
        <v>0.05</v>
      </c>
      <c r="AA7">
        <v>0</v>
      </c>
      <c r="AB7">
        <v>1234.8800000000001</v>
      </c>
      <c r="AC7">
        <v>0</v>
      </c>
      <c r="AD7">
        <v>0</v>
      </c>
      <c r="AE7">
        <v>0</v>
      </c>
      <c r="AF7">
        <v>1234.8800000000001</v>
      </c>
      <c r="AG7">
        <f>' 8-гр. ЛС 1 (2)'!G32</f>
        <v>1234.8800000000001</v>
      </c>
      <c r="AH7">
        <f>ROUND(AC7,2)</f>
        <v>0</v>
      </c>
      <c r="AJ7">
        <v>1</v>
      </c>
      <c r="AK7">
        <f t="shared" si="0"/>
        <v>61.744</v>
      </c>
      <c r="AL7">
        <v>1</v>
      </c>
      <c r="AN7">
        <v>0</v>
      </c>
      <c r="AO7">
        <v>0</v>
      </c>
      <c r="AP7">
        <v>0</v>
      </c>
      <c r="AQ7">
        <v>1</v>
      </c>
      <c r="AR7">
        <v>0</v>
      </c>
      <c r="AS7" t="s">
        <v>3</v>
      </c>
      <c r="AT7">
        <v>0.05</v>
      </c>
      <c r="AU7" t="s">
        <v>3</v>
      </c>
      <c r="AV7">
        <v>0</v>
      </c>
      <c r="AW7">
        <v>2</v>
      </c>
      <c r="AX7">
        <v>27758612</v>
      </c>
      <c r="AY7">
        <v>1</v>
      </c>
      <c r="AZ7">
        <v>0</v>
      </c>
      <c r="BA7">
        <v>7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61.744000000000007</v>
      </c>
      <c r="BL7">
        <v>0</v>
      </c>
      <c r="BM7">
        <v>0</v>
      </c>
      <c r="BN7">
        <v>0</v>
      </c>
      <c r="BO7">
        <v>0</v>
      </c>
      <c r="BP7">
        <v>1</v>
      </c>
      <c r="BQ7">
        <v>0</v>
      </c>
      <c r="BR7">
        <f>' 8-гр. ЛС 1 (2)'!G32*SmtRes!Y7</f>
        <v>61.744000000000007</v>
      </c>
      <c r="BS7">
        <v>0</v>
      </c>
      <c r="BT7">
        <v>0</v>
      </c>
      <c r="BU7">
        <v>0</v>
      </c>
      <c r="BV7">
        <v>0</v>
      </c>
      <c r="BW7">
        <v>1</v>
      </c>
      <c r="CX7">
        <f>Y7*Source!I24</f>
        <v>6.9999999999999993E-2</v>
      </c>
      <c r="CY7">
        <f t="shared" si="1"/>
        <v>1234.8800000000001</v>
      </c>
      <c r="CZ7">
        <f t="shared" si="2"/>
        <v>1234.8800000000001</v>
      </c>
      <c r="DA7">
        <f t="shared" si="3"/>
        <v>1</v>
      </c>
      <c r="DB7">
        <v>0</v>
      </c>
    </row>
    <row r="8" spans="1:106" x14ac:dyDescent="0.2">
      <c r="A8">
        <f>ROW(Source!A24)</f>
        <v>24</v>
      </c>
      <c r="B8">
        <v>27758530</v>
      </c>
      <c r="C8">
        <v>27758592</v>
      </c>
      <c r="D8">
        <v>15711279</v>
      </c>
      <c r="E8">
        <v>1</v>
      </c>
      <c r="F8">
        <v>1</v>
      </c>
      <c r="G8">
        <v>1</v>
      </c>
      <c r="H8">
        <v>2</v>
      </c>
      <c r="I8" t="s">
        <v>247</v>
      </c>
      <c r="J8" t="s">
        <v>248</v>
      </c>
      <c r="K8" t="s">
        <v>249</v>
      </c>
      <c r="L8">
        <v>1368</v>
      </c>
      <c r="N8">
        <v>1011</v>
      </c>
      <c r="O8" t="s">
        <v>234</v>
      </c>
      <c r="P8" t="s">
        <v>234</v>
      </c>
      <c r="Q8">
        <v>1</v>
      </c>
      <c r="W8">
        <v>0</v>
      </c>
      <c r="X8">
        <v>1855031231</v>
      </c>
      <c r="Y8">
        <v>0.05</v>
      </c>
      <c r="AA8">
        <v>0</v>
      </c>
      <c r="AB8">
        <v>124.54</v>
      </c>
      <c r="AC8">
        <v>0</v>
      </c>
      <c r="AD8">
        <v>0</v>
      </c>
      <c r="AE8">
        <v>0</v>
      </c>
      <c r="AF8">
        <v>124.54</v>
      </c>
      <c r="AG8">
        <f>' 8-гр. ЛС 1 (2)'!G33</f>
        <v>124.54</v>
      </c>
      <c r="AH8">
        <f>ROUND(AC8,2)</f>
        <v>0</v>
      </c>
      <c r="AJ8">
        <v>1</v>
      </c>
      <c r="AK8">
        <f t="shared" si="0"/>
        <v>6.2270000000000003</v>
      </c>
      <c r="AL8">
        <v>1</v>
      </c>
      <c r="AN8">
        <v>0</v>
      </c>
      <c r="AO8">
        <v>0</v>
      </c>
      <c r="AP8">
        <v>0</v>
      </c>
      <c r="AQ8">
        <v>1</v>
      </c>
      <c r="AR8">
        <v>0</v>
      </c>
      <c r="AS8" t="s">
        <v>3</v>
      </c>
      <c r="AT8">
        <v>0.05</v>
      </c>
      <c r="AU8" t="s">
        <v>3</v>
      </c>
      <c r="AV8">
        <v>0</v>
      </c>
      <c r="AW8">
        <v>2</v>
      </c>
      <c r="AX8">
        <v>27758613</v>
      </c>
      <c r="AY8">
        <v>1</v>
      </c>
      <c r="AZ8">
        <v>0</v>
      </c>
      <c r="BA8">
        <v>8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6.2270000000000003</v>
      </c>
      <c r="BL8">
        <v>0</v>
      </c>
      <c r="BM8">
        <v>0</v>
      </c>
      <c r="BN8">
        <v>0</v>
      </c>
      <c r="BO8">
        <v>0</v>
      </c>
      <c r="BP8">
        <v>1</v>
      </c>
      <c r="BQ8">
        <v>0</v>
      </c>
      <c r="BR8">
        <f>' 8-гр. ЛС 1 (2)'!G33*SmtRes!Y8</f>
        <v>6.2270000000000003</v>
      </c>
      <c r="BS8">
        <v>0</v>
      </c>
      <c r="BT8">
        <v>0</v>
      </c>
      <c r="BU8">
        <v>0</v>
      </c>
      <c r="BV8">
        <v>0</v>
      </c>
      <c r="BW8">
        <v>1</v>
      </c>
      <c r="CX8">
        <f>Y8*Source!I24</f>
        <v>6.9999999999999993E-2</v>
      </c>
      <c r="CY8">
        <f t="shared" si="1"/>
        <v>124.54</v>
      </c>
      <c r="CZ8">
        <f t="shared" si="2"/>
        <v>124.54</v>
      </c>
      <c r="DA8">
        <f t="shared" si="3"/>
        <v>1</v>
      </c>
      <c r="DB8">
        <v>0</v>
      </c>
    </row>
    <row r="9" spans="1:106" x14ac:dyDescent="0.2">
      <c r="A9">
        <f>ROW(Source!A24)</f>
        <v>24</v>
      </c>
      <c r="B9">
        <v>27758530</v>
      </c>
      <c r="C9">
        <v>27758592</v>
      </c>
      <c r="D9">
        <v>15732597</v>
      </c>
      <c r="E9">
        <v>1</v>
      </c>
      <c r="F9">
        <v>1</v>
      </c>
      <c r="G9">
        <v>1</v>
      </c>
      <c r="H9">
        <v>3</v>
      </c>
      <c r="I9" t="s">
        <v>250</v>
      </c>
      <c r="J9" t="s">
        <v>251</v>
      </c>
      <c r="K9" t="s">
        <v>252</v>
      </c>
      <c r="L9">
        <v>1348</v>
      </c>
      <c r="N9">
        <v>1009</v>
      </c>
      <c r="O9" t="s">
        <v>61</v>
      </c>
      <c r="P9" t="s">
        <v>61</v>
      </c>
      <c r="Q9">
        <v>1000</v>
      </c>
      <c r="W9">
        <v>0</v>
      </c>
      <c r="X9">
        <v>1337531637</v>
      </c>
      <c r="Y9">
        <v>2.0000000000000002E-5</v>
      </c>
      <c r="AA9">
        <v>53424</v>
      </c>
      <c r="AB9">
        <v>0</v>
      </c>
      <c r="AC9">
        <v>0</v>
      </c>
      <c r="AD9">
        <v>0</v>
      </c>
      <c r="AE9">
        <v>53424</v>
      </c>
      <c r="AF9">
        <f>' 8-гр. ЛС 1 (2)'!G35</f>
        <v>53424</v>
      </c>
      <c r="AG9">
        <v>0</v>
      </c>
      <c r="AH9">
        <v>0</v>
      </c>
      <c r="AJ9">
        <v>1</v>
      </c>
      <c r="AK9">
        <f>ROUND(Y9*AF9,4)</f>
        <v>1.0685</v>
      </c>
      <c r="AL9">
        <v>1</v>
      </c>
      <c r="AN9">
        <v>0</v>
      </c>
      <c r="AO9">
        <v>0</v>
      </c>
      <c r="AP9">
        <v>0</v>
      </c>
      <c r="AQ9">
        <v>1</v>
      </c>
      <c r="AR9">
        <v>0</v>
      </c>
      <c r="AS9" t="s">
        <v>3</v>
      </c>
      <c r="AT9">
        <v>2.0000000000000002E-5</v>
      </c>
      <c r="AU9" t="s">
        <v>3</v>
      </c>
      <c r="AV9">
        <v>0</v>
      </c>
      <c r="AW9">
        <v>2</v>
      </c>
      <c r="AX9">
        <v>27758614</v>
      </c>
      <c r="AY9">
        <v>1</v>
      </c>
      <c r="AZ9">
        <v>0</v>
      </c>
      <c r="BA9">
        <v>9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1.0684800000000001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f>' 8-гр. ЛС 1 (2)'!G35*SmtRes!Y9</f>
        <v>1.0684800000000001</v>
      </c>
      <c r="BR9">
        <v>0</v>
      </c>
      <c r="BS9">
        <v>0</v>
      </c>
      <c r="BT9">
        <v>0</v>
      </c>
      <c r="BU9">
        <v>0</v>
      </c>
      <c r="BV9">
        <v>0</v>
      </c>
      <c r="BW9">
        <v>1</v>
      </c>
      <c r="CX9">
        <f>Y9*Source!I24</f>
        <v>2.8E-5</v>
      </c>
      <c r="CY9">
        <f>AA9</f>
        <v>53424</v>
      </c>
      <c r="CZ9">
        <f>AE9</f>
        <v>53424</v>
      </c>
      <c r="DA9">
        <f>AI9</f>
        <v>0</v>
      </c>
      <c r="DB9">
        <v>0</v>
      </c>
    </row>
    <row r="10" spans="1:106" x14ac:dyDescent="0.2">
      <c r="A10">
        <f>ROW(Source!A24)</f>
        <v>24</v>
      </c>
      <c r="B10">
        <v>27758530</v>
      </c>
      <c r="C10">
        <v>27758592</v>
      </c>
      <c r="D10">
        <v>15736847</v>
      </c>
      <c r="E10">
        <v>1</v>
      </c>
      <c r="F10">
        <v>1</v>
      </c>
      <c r="G10">
        <v>1</v>
      </c>
      <c r="H10">
        <v>3</v>
      </c>
      <c r="I10" t="s">
        <v>59</v>
      </c>
      <c r="J10" t="s">
        <v>62</v>
      </c>
      <c r="K10" t="s">
        <v>253</v>
      </c>
      <c r="L10">
        <v>1348</v>
      </c>
      <c r="N10">
        <v>1009</v>
      </c>
      <c r="O10" t="s">
        <v>61</v>
      </c>
      <c r="P10" t="s">
        <v>61</v>
      </c>
      <c r="Q10">
        <v>1000</v>
      </c>
      <c r="W10">
        <v>0</v>
      </c>
      <c r="X10">
        <v>-1803532932</v>
      </c>
      <c r="Y10">
        <v>8.0000000000000007E-5</v>
      </c>
      <c r="AA10">
        <v>67818.78</v>
      </c>
      <c r="AB10">
        <v>0</v>
      </c>
      <c r="AC10">
        <v>0</v>
      </c>
      <c r="AD10">
        <v>0</v>
      </c>
      <c r="AE10">
        <v>67818.78</v>
      </c>
      <c r="AF10">
        <f>' 8-гр. ЛС 1 (2)'!G36</f>
        <v>67818.78</v>
      </c>
      <c r="AG10">
        <v>0</v>
      </c>
      <c r="AH10">
        <v>0</v>
      </c>
      <c r="AJ10">
        <v>1</v>
      </c>
      <c r="AK10">
        <f>ROUND(Y10*AF10,4)</f>
        <v>5.4255000000000004</v>
      </c>
      <c r="AL10">
        <v>1</v>
      </c>
      <c r="AN10">
        <v>0</v>
      </c>
      <c r="AO10">
        <v>0</v>
      </c>
      <c r="AP10">
        <v>0</v>
      </c>
      <c r="AQ10">
        <v>1</v>
      </c>
      <c r="AR10">
        <v>0</v>
      </c>
      <c r="AS10" t="s">
        <v>3</v>
      </c>
      <c r="AT10">
        <v>8.0000000000000007E-5</v>
      </c>
      <c r="AU10" t="s">
        <v>3</v>
      </c>
      <c r="AV10">
        <v>0</v>
      </c>
      <c r="AW10">
        <v>2</v>
      </c>
      <c r="AX10">
        <v>27758615</v>
      </c>
      <c r="AY10">
        <v>1</v>
      </c>
      <c r="AZ10">
        <v>0</v>
      </c>
      <c r="BA10">
        <v>10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5.4255024000000001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</v>
      </c>
      <c r="BQ10">
        <f>' 8-гр. ЛС 1 (2)'!G36*SmtRes!Y10</f>
        <v>5.4255024000000001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1</v>
      </c>
      <c r="CX10">
        <f>Y10*Source!I24</f>
        <v>1.12E-4</v>
      </c>
      <c r="CY10">
        <f>AA10</f>
        <v>67818.78</v>
      </c>
      <c r="CZ10">
        <f>AE10</f>
        <v>67818.78</v>
      </c>
      <c r="DA10">
        <f>AI10</f>
        <v>0</v>
      </c>
      <c r="DB10">
        <v>0</v>
      </c>
    </row>
    <row r="11" spans="1:106" x14ac:dyDescent="0.2">
      <c r="A11">
        <f>ROW(Source!A24)</f>
        <v>24</v>
      </c>
      <c r="B11">
        <v>27758530</v>
      </c>
      <c r="C11">
        <v>27758592</v>
      </c>
      <c r="D11">
        <v>15738096</v>
      </c>
      <c r="E11">
        <v>1</v>
      </c>
      <c r="F11">
        <v>1</v>
      </c>
      <c r="G11">
        <v>1</v>
      </c>
      <c r="H11">
        <v>3</v>
      </c>
      <c r="I11" t="s">
        <v>254</v>
      </c>
      <c r="J11" t="s">
        <v>255</v>
      </c>
      <c r="K11" t="s">
        <v>256</v>
      </c>
      <c r="L11">
        <v>1339</v>
      </c>
      <c r="N11">
        <v>1007</v>
      </c>
      <c r="O11" t="s">
        <v>34</v>
      </c>
      <c r="P11" t="s">
        <v>34</v>
      </c>
      <c r="Q11">
        <v>1</v>
      </c>
      <c r="W11">
        <v>0</v>
      </c>
      <c r="X11">
        <v>2140230990</v>
      </c>
      <c r="Y11">
        <v>6.0000000000000001E-3</v>
      </c>
      <c r="AA11">
        <v>23627.119999999999</v>
      </c>
      <c r="AB11">
        <v>0</v>
      </c>
      <c r="AC11">
        <v>0</v>
      </c>
      <c r="AD11">
        <v>0</v>
      </c>
      <c r="AE11">
        <v>23627.119999999999</v>
      </c>
      <c r="AF11">
        <f>' 8-гр. ЛС 1 (2)'!G37</f>
        <v>23627.119999999999</v>
      </c>
      <c r="AG11">
        <v>0</v>
      </c>
      <c r="AH11">
        <v>0</v>
      </c>
      <c r="AJ11">
        <v>1</v>
      </c>
      <c r="AK11">
        <f>ROUND(Y11*AF11,4)</f>
        <v>141.7627</v>
      </c>
      <c r="AL11">
        <v>1</v>
      </c>
      <c r="AN11">
        <v>0</v>
      </c>
      <c r="AO11">
        <v>0</v>
      </c>
      <c r="AP11">
        <v>0</v>
      </c>
      <c r="AQ11">
        <v>1</v>
      </c>
      <c r="AR11">
        <v>0</v>
      </c>
      <c r="AS11" t="s">
        <v>3</v>
      </c>
      <c r="AT11">
        <v>6.0000000000000001E-3</v>
      </c>
      <c r="AU11" t="s">
        <v>3</v>
      </c>
      <c r="AV11">
        <v>0</v>
      </c>
      <c r="AW11">
        <v>2</v>
      </c>
      <c r="AX11">
        <v>27758616</v>
      </c>
      <c r="AY11">
        <v>1</v>
      </c>
      <c r="AZ11">
        <v>0</v>
      </c>
      <c r="BA11">
        <v>11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141.76272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1</v>
      </c>
      <c r="BQ11">
        <f>' 8-гр. ЛС 1 (2)'!G37*SmtRes!Y11</f>
        <v>141.76272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1</v>
      </c>
      <c r="CX11">
        <f>Y11*Source!I24</f>
        <v>8.3999999999999995E-3</v>
      </c>
      <c r="CY11">
        <f>AA11</f>
        <v>23627.119999999999</v>
      </c>
      <c r="CZ11">
        <f>AE11</f>
        <v>23627.119999999999</v>
      </c>
      <c r="DA11">
        <f>AI11</f>
        <v>0</v>
      </c>
      <c r="DB11">
        <v>0</v>
      </c>
    </row>
    <row r="12" spans="1:106" x14ac:dyDescent="0.2">
      <c r="A12">
        <f>ROW(Source!A24)</f>
        <v>24</v>
      </c>
      <c r="B12">
        <v>27758530</v>
      </c>
      <c r="C12">
        <v>27758592</v>
      </c>
      <c r="D12">
        <v>15725312</v>
      </c>
      <c r="E12">
        <v>1</v>
      </c>
      <c r="F12">
        <v>1</v>
      </c>
      <c r="G12">
        <v>1</v>
      </c>
      <c r="H12">
        <v>3</v>
      </c>
      <c r="I12" t="s">
        <v>257</v>
      </c>
      <c r="J12" t="s">
        <v>258</v>
      </c>
      <c r="K12" t="s">
        <v>259</v>
      </c>
      <c r="L12">
        <v>1348</v>
      </c>
      <c r="N12">
        <v>1009</v>
      </c>
      <c r="O12" t="s">
        <v>61</v>
      </c>
      <c r="P12" t="s">
        <v>61</v>
      </c>
      <c r="Q12">
        <v>1000</v>
      </c>
      <c r="W12">
        <v>0</v>
      </c>
      <c r="X12">
        <v>752784858</v>
      </c>
      <c r="Y12">
        <v>8.0000000000000007E-5</v>
      </c>
      <c r="AA12">
        <v>76872.5</v>
      </c>
      <c r="AB12">
        <v>0</v>
      </c>
      <c r="AC12">
        <v>0</v>
      </c>
      <c r="AD12">
        <v>0</v>
      </c>
      <c r="AE12">
        <v>76872.5</v>
      </c>
      <c r="AF12">
        <f>' 8-гр. ЛС 1 (2)'!G38</f>
        <v>76872.5</v>
      </c>
      <c r="AG12">
        <v>0</v>
      </c>
      <c r="AH12">
        <v>0</v>
      </c>
      <c r="AJ12">
        <v>1</v>
      </c>
      <c r="AK12">
        <f>ROUND(Y12*AF12,4)</f>
        <v>6.1497999999999999</v>
      </c>
      <c r="AL12">
        <v>1</v>
      </c>
      <c r="AN12">
        <v>0</v>
      </c>
      <c r="AO12">
        <v>0</v>
      </c>
      <c r="AP12">
        <v>0</v>
      </c>
      <c r="AQ12">
        <v>1</v>
      </c>
      <c r="AR12">
        <v>0</v>
      </c>
      <c r="AS12" t="s">
        <v>3</v>
      </c>
      <c r="AT12">
        <v>8.0000000000000007E-5</v>
      </c>
      <c r="AU12" t="s">
        <v>3</v>
      </c>
      <c r="AV12">
        <v>0</v>
      </c>
      <c r="AW12">
        <v>2</v>
      </c>
      <c r="AX12">
        <v>27758617</v>
      </c>
      <c r="AY12">
        <v>1</v>
      </c>
      <c r="AZ12">
        <v>0</v>
      </c>
      <c r="BA12">
        <v>12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6.1498000000000008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1</v>
      </c>
      <c r="BQ12">
        <f>' 8-гр. ЛС 1 (2)'!G38*SmtRes!Y12</f>
        <v>6.1498000000000008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1</v>
      </c>
      <c r="CX12">
        <f>Y12*Source!I24</f>
        <v>1.12E-4</v>
      </c>
      <c r="CY12">
        <f>AA12</f>
        <v>76872.5</v>
      </c>
      <c r="CZ12">
        <f>AE12</f>
        <v>76872.5</v>
      </c>
      <c r="DA12">
        <f>AI12</f>
        <v>0</v>
      </c>
      <c r="DB12">
        <v>0</v>
      </c>
    </row>
    <row r="13" spans="1:106" x14ac:dyDescent="0.2">
      <c r="A13">
        <f>ROW(Source!A24)</f>
        <v>24</v>
      </c>
      <c r="B13">
        <v>27758530</v>
      </c>
      <c r="C13">
        <v>27758592</v>
      </c>
      <c r="D13">
        <v>15719512</v>
      </c>
      <c r="E13">
        <v>1</v>
      </c>
      <c r="F13">
        <v>1</v>
      </c>
      <c r="G13">
        <v>1</v>
      </c>
      <c r="H13">
        <v>3</v>
      </c>
      <c r="I13" t="s">
        <v>260</v>
      </c>
      <c r="J13" t="s">
        <v>261</v>
      </c>
      <c r="K13" t="s">
        <v>262</v>
      </c>
      <c r="L13">
        <v>1339</v>
      </c>
      <c r="N13">
        <v>1007</v>
      </c>
      <c r="O13" t="s">
        <v>34</v>
      </c>
      <c r="P13" t="s">
        <v>34</v>
      </c>
      <c r="Q13">
        <v>1</v>
      </c>
      <c r="W13">
        <v>0</v>
      </c>
      <c r="X13">
        <v>1961221520</v>
      </c>
      <c r="Y13">
        <v>1.03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f>' 8-гр. ЛС 1 (2)'!G39</f>
        <v>0</v>
      </c>
      <c r="AG13">
        <v>0</v>
      </c>
      <c r="AH13">
        <v>0</v>
      </c>
      <c r="AJ13">
        <v>1</v>
      </c>
      <c r="AK13">
        <f>ROUND(Y13*AF13,4)</f>
        <v>0</v>
      </c>
      <c r="AL13">
        <v>1</v>
      </c>
      <c r="AN13">
        <v>0</v>
      </c>
      <c r="AO13">
        <v>0</v>
      </c>
      <c r="AP13">
        <v>0</v>
      </c>
      <c r="AQ13">
        <v>1</v>
      </c>
      <c r="AR13">
        <v>0</v>
      </c>
      <c r="AS13" t="s">
        <v>3</v>
      </c>
      <c r="AT13">
        <v>1.03</v>
      </c>
      <c r="AU13" t="s">
        <v>3</v>
      </c>
      <c r="AV13">
        <v>0</v>
      </c>
      <c r="AW13">
        <v>2</v>
      </c>
      <c r="AX13">
        <v>27758618</v>
      </c>
      <c r="AY13">
        <v>1</v>
      </c>
      <c r="AZ13">
        <v>0</v>
      </c>
      <c r="BA13">
        <v>13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f>' 8-гр. ЛС 1 (2)'!G39*SmtRes!Y13</f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Y13*Source!I24</f>
        <v>1.4419999999999999</v>
      </c>
      <c r="CY13">
        <f>AA13</f>
        <v>0</v>
      </c>
      <c r="CZ13">
        <f>AE13</f>
        <v>0</v>
      </c>
      <c r="DA13">
        <f>AI13</f>
        <v>0</v>
      </c>
      <c r="DB13">
        <v>0</v>
      </c>
    </row>
    <row r="14" spans="1:106" x14ac:dyDescent="0.2">
      <c r="A14">
        <f>ROW(Source!A25)</f>
        <v>25</v>
      </c>
      <c r="B14">
        <v>27758530</v>
      </c>
      <c r="C14">
        <v>27758619</v>
      </c>
      <c r="D14">
        <v>9254625</v>
      </c>
      <c r="E14">
        <v>1</v>
      </c>
      <c r="F14">
        <v>1</v>
      </c>
      <c r="G14">
        <v>1</v>
      </c>
      <c r="H14">
        <v>1</v>
      </c>
      <c r="I14" t="s">
        <v>263</v>
      </c>
      <c r="J14" t="s">
        <v>3</v>
      </c>
      <c r="K14" t="s">
        <v>264</v>
      </c>
      <c r="L14">
        <v>1369</v>
      </c>
      <c r="N14">
        <v>1013</v>
      </c>
      <c r="O14" t="s">
        <v>228</v>
      </c>
      <c r="P14" t="s">
        <v>228</v>
      </c>
      <c r="Q14">
        <v>1</v>
      </c>
      <c r="W14">
        <v>0</v>
      </c>
      <c r="X14">
        <v>1607597553</v>
      </c>
      <c r="Y14">
        <v>180</v>
      </c>
      <c r="AA14">
        <v>0</v>
      </c>
      <c r="AB14">
        <v>0</v>
      </c>
      <c r="AC14">
        <v>0</v>
      </c>
      <c r="AD14">
        <v>158.54</v>
      </c>
      <c r="AE14">
        <v>0</v>
      </c>
      <c r="AF14">
        <v>0</v>
      </c>
      <c r="AG14">
        <v>0</v>
      </c>
      <c r="AH14">
        <v>158.54</v>
      </c>
      <c r="AI14">
        <f>' 8-гр. ЛС 1 (2)'!G45</f>
        <v>158.54</v>
      </c>
      <c r="AJ14">
        <v>1</v>
      </c>
      <c r="AK14">
        <f>ROUND(Y14*AI14,4)</f>
        <v>28537.200000000001</v>
      </c>
      <c r="AL14">
        <v>1</v>
      </c>
      <c r="AN14">
        <v>0</v>
      </c>
      <c r="AO14">
        <v>0</v>
      </c>
      <c r="AP14">
        <v>0</v>
      </c>
      <c r="AQ14">
        <v>1</v>
      </c>
      <c r="AR14">
        <v>0</v>
      </c>
      <c r="AS14" t="s">
        <v>3</v>
      </c>
      <c r="AT14">
        <v>180</v>
      </c>
      <c r="AU14" t="s">
        <v>3</v>
      </c>
      <c r="AV14">
        <v>1</v>
      </c>
      <c r="AW14">
        <v>2</v>
      </c>
      <c r="AX14">
        <v>27758628</v>
      </c>
      <c r="AY14">
        <v>1</v>
      </c>
      <c r="AZ14">
        <v>0</v>
      </c>
      <c r="BA14">
        <v>14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28537.199999999997</v>
      </c>
      <c r="BN14">
        <v>180</v>
      </c>
      <c r="BO14">
        <v>0</v>
      </c>
      <c r="BP14">
        <v>1</v>
      </c>
      <c r="BQ14">
        <v>0</v>
      </c>
      <c r="BR14">
        <v>0</v>
      </c>
      <c r="BS14">
        <v>0</v>
      </c>
      <c r="BT14">
        <f>' 8-гр. ЛС 1 (2)'!G45*SmtRes!Y14</f>
        <v>28537.199999999997</v>
      </c>
      <c r="BU14">
        <v>180</v>
      </c>
      <c r="BV14">
        <v>0</v>
      </c>
      <c r="BW14">
        <v>1</v>
      </c>
      <c r="CX14">
        <f>Y14*Source!I25</f>
        <v>12.600000000000001</v>
      </c>
      <c r="CY14">
        <f>AD14</f>
        <v>158.54</v>
      </c>
      <c r="CZ14">
        <f>AH14</f>
        <v>158.54</v>
      </c>
      <c r="DA14">
        <f>AL14</f>
        <v>1</v>
      </c>
      <c r="DB14">
        <v>0</v>
      </c>
    </row>
    <row r="15" spans="1:106" x14ac:dyDescent="0.2">
      <c r="A15">
        <f>ROW(Source!A25)</f>
        <v>25</v>
      </c>
      <c r="B15">
        <v>27758530</v>
      </c>
      <c r="C15">
        <v>27758619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24</v>
      </c>
      <c r="J15" t="s">
        <v>3</v>
      </c>
      <c r="K15" t="s">
        <v>229</v>
      </c>
      <c r="L15">
        <v>608254</v>
      </c>
      <c r="N15">
        <v>1013</v>
      </c>
      <c r="O15" t="s">
        <v>230</v>
      </c>
      <c r="P15" t="s">
        <v>230</v>
      </c>
      <c r="Q15">
        <v>1</v>
      </c>
      <c r="W15">
        <v>0</v>
      </c>
      <c r="X15">
        <v>-185737400</v>
      </c>
      <c r="Y15">
        <v>18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f>' 8-гр. ЛС 1 (2)'!G46</f>
        <v>0</v>
      </c>
      <c r="AJ15">
        <v>1</v>
      </c>
      <c r="AK15">
        <f>AVERAGE(AH16*Y16,AH17*Y17,AH18*Y18)*Source!I25</f>
        <v>115.25220000000002</v>
      </c>
      <c r="AL15">
        <v>1</v>
      </c>
      <c r="AN15">
        <v>0</v>
      </c>
      <c r="AO15">
        <v>0</v>
      </c>
      <c r="AP15">
        <v>0</v>
      </c>
      <c r="AQ15">
        <v>1</v>
      </c>
      <c r="AR15">
        <v>0</v>
      </c>
      <c r="AS15" t="s">
        <v>3</v>
      </c>
      <c r="AT15">
        <v>18</v>
      </c>
      <c r="AU15" t="s">
        <v>3</v>
      </c>
      <c r="AV15">
        <v>2</v>
      </c>
      <c r="AW15">
        <v>2</v>
      </c>
      <c r="AX15">
        <v>27758629</v>
      </c>
      <c r="AY15">
        <v>1</v>
      </c>
      <c r="AZ15">
        <v>0</v>
      </c>
      <c r="BA15">
        <v>15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18</v>
      </c>
      <c r="BP15">
        <v>1</v>
      </c>
      <c r="BQ15">
        <v>0</v>
      </c>
      <c r="BR15">
        <v>0</v>
      </c>
      <c r="BS15">
        <v>0</v>
      </c>
      <c r="BT15">
        <f>' 8-гр. ЛС 1 (2)'!G46*SmtRes!Y15</f>
        <v>0</v>
      </c>
      <c r="BU15">
        <v>0</v>
      </c>
      <c r="BV15">
        <v>18</v>
      </c>
      <c r="BW15">
        <v>1</v>
      </c>
      <c r="CX15">
        <f>Y15*Source!I25</f>
        <v>1.2600000000000002</v>
      </c>
      <c r="CY15">
        <f>AD15</f>
        <v>0</v>
      </c>
      <c r="CZ15">
        <f>AH15</f>
        <v>0</v>
      </c>
      <c r="DA15">
        <f>AL15</f>
        <v>1</v>
      </c>
      <c r="DB15">
        <v>0</v>
      </c>
    </row>
    <row r="16" spans="1:106" x14ac:dyDescent="0.2">
      <c r="A16">
        <f>ROW(Source!A25)</f>
        <v>25</v>
      </c>
      <c r="B16">
        <v>27758530</v>
      </c>
      <c r="C16">
        <v>27758619</v>
      </c>
      <c r="D16">
        <v>15709189</v>
      </c>
      <c r="E16">
        <v>1</v>
      </c>
      <c r="F16">
        <v>1</v>
      </c>
      <c r="G16">
        <v>1</v>
      </c>
      <c r="H16">
        <v>2</v>
      </c>
      <c r="I16" t="s">
        <v>265</v>
      </c>
      <c r="J16" t="s">
        <v>266</v>
      </c>
      <c r="K16" t="s">
        <v>267</v>
      </c>
      <c r="L16">
        <v>1368</v>
      </c>
      <c r="N16">
        <v>1011</v>
      </c>
      <c r="O16" t="s">
        <v>234</v>
      </c>
      <c r="P16" t="s">
        <v>234</v>
      </c>
      <c r="Q16">
        <v>1</v>
      </c>
      <c r="W16">
        <v>0</v>
      </c>
      <c r="X16">
        <v>-1319545563</v>
      </c>
      <c r="Y16">
        <v>18</v>
      </c>
      <c r="AA16">
        <v>0</v>
      </c>
      <c r="AB16">
        <v>513.19000000000005</v>
      </c>
      <c r="AC16">
        <v>274.41000000000003</v>
      </c>
      <c r="AD16">
        <v>0</v>
      </c>
      <c r="AE16">
        <v>0</v>
      </c>
      <c r="AF16">
        <v>513.19000000000005</v>
      </c>
      <c r="AG16">
        <f>' 8-гр. ЛС 1 (2)'!G48</f>
        <v>513.19000000000005</v>
      </c>
      <c r="AH16">
        <f>' 8-гр. ЛС 1 (2)'!G49</f>
        <v>274.41000000000003</v>
      </c>
      <c r="AJ16">
        <v>1</v>
      </c>
      <c r="AK16">
        <f>ROUND(Y16*AG16,4)</f>
        <v>9237.42</v>
      </c>
      <c r="AL16">
        <v>1</v>
      </c>
      <c r="AN16">
        <v>0</v>
      </c>
      <c r="AO16">
        <v>0</v>
      </c>
      <c r="AP16">
        <v>0</v>
      </c>
      <c r="AQ16">
        <v>1</v>
      </c>
      <c r="AR16">
        <v>0</v>
      </c>
      <c r="AS16" t="s">
        <v>3</v>
      </c>
      <c r="AT16">
        <v>18</v>
      </c>
      <c r="AU16" t="s">
        <v>3</v>
      </c>
      <c r="AV16">
        <v>0</v>
      </c>
      <c r="AW16">
        <v>2</v>
      </c>
      <c r="AX16">
        <v>27758630</v>
      </c>
      <c r="AY16">
        <v>1</v>
      </c>
      <c r="AZ16">
        <v>0</v>
      </c>
      <c r="BA16">
        <v>16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9237.4200000000019</v>
      </c>
      <c r="BL16">
        <v>4939.38</v>
      </c>
      <c r="BM16">
        <v>0</v>
      </c>
      <c r="BN16">
        <v>0</v>
      </c>
      <c r="BO16">
        <v>0</v>
      </c>
      <c r="BP16">
        <v>1</v>
      </c>
      <c r="BQ16">
        <v>0</v>
      </c>
      <c r="BR16">
        <f>' 8-гр. ЛС 1 (2)'!G48*SmtRes!Y16</f>
        <v>9237.4200000000019</v>
      </c>
      <c r="BS16">
        <f>' 8-гр. ЛС 1 (2)'!G49*SmtRes!Y16</f>
        <v>4939.38</v>
      </c>
      <c r="BT16">
        <v>0</v>
      </c>
      <c r="BU16">
        <v>0</v>
      </c>
      <c r="BV16">
        <v>0</v>
      </c>
      <c r="BW16">
        <v>1</v>
      </c>
      <c r="CX16">
        <f>Y16*Source!I25</f>
        <v>1.2600000000000002</v>
      </c>
      <c r="CY16">
        <f>AB16</f>
        <v>513.19000000000005</v>
      </c>
      <c r="CZ16">
        <f>AF16</f>
        <v>513.19000000000005</v>
      </c>
      <c r="DA16">
        <f>AJ16</f>
        <v>1</v>
      </c>
      <c r="DB16">
        <v>0</v>
      </c>
    </row>
    <row r="17" spans="1:106" x14ac:dyDescent="0.2">
      <c r="A17">
        <f>ROW(Source!A25)</f>
        <v>25</v>
      </c>
      <c r="B17">
        <v>27758530</v>
      </c>
      <c r="C17">
        <v>27758619</v>
      </c>
      <c r="D17">
        <v>15709829</v>
      </c>
      <c r="E17">
        <v>1</v>
      </c>
      <c r="F17">
        <v>1</v>
      </c>
      <c r="G17">
        <v>1</v>
      </c>
      <c r="H17">
        <v>2</v>
      </c>
      <c r="I17" t="s">
        <v>268</v>
      </c>
      <c r="J17" t="s">
        <v>269</v>
      </c>
      <c r="K17" t="s">
        <v>270</v>
      </c>
      <c r="L17">
        <v>1368</v>
      </c>
      <c r="N17">
        <v>1011</v>
      </c>
      <c r="O17" t="s">
        <v>234</v>
      </c>
      <c r="P17" t="s">
        <v>234</v>
      </c>
      <c r="Q17">
        <v>1</v>
      </c>
      <c r="W17">
        <v>0</v>
      </c>
      <c r="X17">
        <v>-1375175564</v>
      </c>
      <c r="Y17">
        <v>48</v>
      </c>
      <c r="AA17">
        <v>0</v>
      </c>
      <c r="AB17">
        <v>2.38</v>
      </c>
      <c r="AC17">
        <v>0</v>
      </c>
      <c r="AD17">
        <v>0</v>
      </c>
      <c r="AE17">
        <v>0</v>
      </c>
      <c r="AF17">
        <v>2.38</v>
      </c>
      <c r="AG17">
        <f>' 8-гр. ЛС 1 (2)'!G50</f>
        <v>2.38</v>
      </c>
      <c r="AH17">
        <f>ROUND(AC17,2)</f>
        <v>0</v>
      </c>
      <c r="AJ17">
        <v>1</v>
      </c>
      <c r="AK17">
        <f>ROUND(Y17*AG17,4)</f>
        <v>114.24</v>
      </c>
      <c r="AL17">
        <v>1</v>
      </c>
      <c r="AN17">
        <v>0</v>
      </c>
      <c r="AO17">
        <v>0</v>
      </c>
      <c r="AP17">
        <v>0</v>
      </c>
      <c r="AQ17">
        <v>1</v>
      </c>
      <c r="AR17">
        <v>0</v>
      </c>
      <c r="AS17" t="s">
        <v>3</v>
      </c>
      <c r="AT17">
        <v>48</v>
      </c>
      <c r="AU17" t="s">
        <v>3</v>
      </c>
      <c r="AV17">
        <v>0</v>
      </c>
      <c r="AW17">
        <v>2</v>
      </c>
      <c r="AX17">
        <v>27758631</v>
      </c>
      <c r="AY17">
        <v>1</v>
      </c>
      <c r="AZ17">
        <v>0</v>
      </c>
      <c r="BA17">
        <v>17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114.24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0</v>
      </c>
      <c r="BR17">
        <f>' 8-гр. ЛС 1 (2)'!G50*SmtRes!Y17</f>
        <v>114.24</v>
      </c>
      <c r="BS17">
        <v>0</v>
      </c>
      <c r="BT17">
        <v>0</v>
      </c>
      <c r="BU17">
        <v>0</v>
      </c>
      <c r="BV17">
        <v>0</v>
      </c>
      <c r="BW17">
        <v>1</v>
      </c>
      <c r="CX17">
        <f>Y17*Source!I25</f>
        <v>3.3600000000000003</v>
      </c>
      <c r="CY17">
        <f>AB17</f>
        <v>2.38</v>
      </c>
      <c r="CZ17">
        <f>AF17</f>
        <v>2.38</v>
      </c>
      <c r="DA17">
        <f>AJ17</f>
        <v>1</v>
      </c>
      <c r="DB17">
        <v>0</v>
      </c>
    </row>
    <row r="18" spans="1:106" x14ac:dyDescent="0.2">
      <c r="A18">
        <f>ROW(Source!A25)</f>
        <v>25</v>
      </c>
      <c r="B18">
        <v>27758530</v>
      </c>
      <c r="C18">
        <v>27758619</v>
      </c>
      <c r="D18">
        <v>15711260</v>
      </c>
      <c r="E18">
        <v>1</v>
      </c>
      <c r="F18">
        <v>1</v>
      </c>
      <c r="G18">
        <v>1</v>
      </c>
      <c r="H18">
        <v>2</v>
      </c>
      <c r="I18" t="s">
        <v>271</v>
      </c>
      <c r="J18" t="s">
        <v>272</v>
      </c>
      <c r="K18" t="s">
        <v>273</v>
      </c>
      <c r="L18">
        <v>1368</v>
      </c>
      <c r="N18">
        <v>1011</v>
      </c>
      <c r="O18" t="s">
        <v>234</v>
      </c>
      <c r="P18" t="s">
        <v>234</v>
      </c>
      <c r="Q18">
        <v>1</v>
      </c>
      <c r="W18">
        <v>0</v>
      </c>
      <c r="X18">
        <v>-706219601</v>
      </c>
      <c r="Y18">
        <v>0.13</v>
      </c>
      <c r="AA18">
        <v>0</v>
      </c>
      <c r="AB18">
        <v>822.45</v>
      </c>
      <c r="AC18">
        <v>0</v>
      </c>
      <c r="AD18">
        <v>0</v>
      </c>
      <c r="AE18">
        <v>0</v>
      </c>
      <c r="AF18">
        <v>822.45</v>
      </c>
      <c r="AG18">
        <f>' 8-гр. ЛС 1 (2)'!G51</f>
        <v>822.45</v>
      </c>
      <c r="AH18">
        <f>ROUND(AC18,2)</f>
        <v>0</v>
      </c>
      <c r="AJ18">
        <v>1</v>
      </c>
      <c r="AK18">
        <f>ROUND(Y18*AG18,4)</f>
        <v>106.91849999999999</v>
      </c>
      <c r="AL18">
        <v>1</v>
      </c>
      <c r="AN18">
        <v>0</v>
      </c>
      <c r="AO18">
        <v>0</v>
      </c>
      <c r="AP18">
        <v>0</v>
      </c>
      <c r="AQ18">
        <v>1</v>
      </c>
      <c r="AR18">
        <v>0</v>
      </c>
      <c r="AS18" t="s">
        <v>3</v>
      </c>
      <c r="AT18">
        <v>0.13</v>
      </c>
      <c r="AU18" t="s">
        <v>3</v>
      </c>
      <c r="AV18">
        <v>0</v>
      </c>
      <c r="AW18">
        <v>2</v>
      </c>
      <c r="AX18">
        <v>27758632</v>
      </c>
      <c r="AY18">
        <v>1</v>
      </c>
      <c r="AZ18">
        <v>0</v>
      </c>
      <c r="BA18">
        <v>18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106.91850000000001</v>
      </c>
      <c r="BL18">
        <v>0</v>
      </c>
      <c r="BM18">
        <v>0</v>
      </c>
      <c r="BN18">
        <v>0</v>
      </c>
      <c r="BO18">
        <v>0</v>
      </c>
      <c r="BP18">
        <v>1</v>
      </c>
      <c r="BQ18">
        <v>0</v>
      </c>
      <c r="BR18">
        <f>' 8-гр. ЛС 1 (2)'!G51*SmtRes!Y18</f>
        <v>106.91850000000001</v>
      </c>
      <c r="BS18">
        <v>0</v>
      </c>
      <c r="BT18">
        <v>0</v>
      </c>
      <c r="BU18">
        <v>0</v>
      </c>
      <c r="BV18">
        <v>0</v>
      </c>
      <c r="BW18">
        <v>1</v>
      </c>
      <c r="CX18">
        <f>Y18*Source!I25</f>
        <v>9.1000000000000004E-3</v>
      </c>
      <c r="CY18">
        <f>AB18</f>
        <v>822.45</v>
      </c>
      <c r="CZ18">
        <f>AF18</f>
        <v>822.45</v>
      </c>
      <c r="DA18">
        <f>AJ18</f>
        <v>1</v>
      </c>
      <c r="DB18">
        <v>0</v>
      </c>
    </row>
    <row r="19" spans="1:106" x14ac:dyDescent="0.2">
      <c r="A19">
        <f>ROW(Source!A25)</f>
        <v>25</v>
      </c>
      <c r="B19">
        <v>27758530</v>
      </c>
      <c r="C19">
        <v>27758619</v>
      </c>
      <c r="D19">
        <v>15730378</v>
      </c>
      <c r="E19">
        <v>1</v>
      </c>
      <c r="F19">
        <v>1</v>
      </c>
      <c r="G19">
        <v>1</v>
      </c>
      <c r="H19">
        <v>3</v>
      </c>
      <c r="I19" t="s">
        <v>274</v>
      </c>
      <c r="J19" t="s">
        <v>275</v>
      </c>
      <c r="K19" t="s">
        <v>276</v>
      </c>
      <c r="L19">
        <v>1327</v>
      </c>
      <c r="N19">
        <v>1005</v>
      </c>
      <c r="O19" t="s">
        <v>73</v>
      </c>
      <c r="P19" t="s">
        <v>73</v>
      </c>
      <c r="Q19">
        <v>1</v>
      </c>
      <c r="W19">
        <v>0</v>
      </c>
      <c r="X19">
        <v>-1114916301</v>
      </c>
      <c r="Y19">
        <v>250</v>
      </c>
      <c r="AA19">
        <v>49.24</v>
      </c>
      <c r="AB19">
        <v>0</v>
      </c>
      <c r="AC19">
        <v>0</v>
      </c>
      <c r="AD19">
        <v>0</v>
      </c>
      <c r="AE19">
        <v>49.24</v>
      </c>
      <c r="AF19">
        <f>' 8-гр. ЛС 1 (2)'!G53</f>
        <v>49.24</v>
      </c>
      <c r="AG19">
        <v>0</v>
      </c>
      <c r="AH19">
        <v>0</v>
      </c>
      <c r="AJ19">
        <v>1</v>
      </c>
      <c r="AK19">
        <f>ROUND(Y19*AF19,4)</f>
        <v>12310</v>
      </c>
      <c r="AL19">
        <v>1</v>
      </c>
      <c r="AN19">
        <v>0</v>
      </c>
      <c r="AO19">
        <v>0</v>
      </c>
      <c r="AP19">
        <v>0</v>
      </c>
      <c r="AQ19">
        <v>1</v>
      </c>
      <c r="AR19">
        <v>0</v>
      </c>
      <c r="AS19" t="s">
        <v>3</v>
      </c>
      <c r="AT19">
        <v>250</v>
      </c>
      <c r="AU19" t="s">
        <v>3</v>
      </c>
      <c r="AV19">
        <v>0</v>
      </c>
      <c r="AW19">
        <v>2</v>
      </c>
      <c r="AX19">
        <v>27758633</v>
      </c>
      <c r="AY19">
        <v>1</v>
      </c>
      <c r="AZ19">
        <v>0</v>
      </c>
      <c r="BA19">
        <v>19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12310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1</v>
      </c>
      <c r="BQ19">
        <f>' 8-гр. ЛС 1 (2)'!G53*SmtRes!Y19</f>
        <v>12310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1</v>
      </c>
      <c r="CX19">
        <f>Y19*Source!I25</f>
        <v>17.5</v>
      </c>
      <c r="CY19">
        <f>AA19</f>
        <v>49.24</v>
      </c>
      <c r="CZ19">
        <f>AE19</f>
        <v>49.24</v>
      </c>
      <c r="DA19">
        <f>AI19</f>
        <v>0</v>
      </c>
      <c r="DB19">
        <v>0</v>
      </c>
    </row>
    <row r="20" spans="1:106" x14ac:dyDescent="0.2">
      <c r="A20">
        <f>ROW(Source!A25)</f>
        <v>25</v>
      </c>
      <c r="B20">
        <v>27758530</v>
      </c>
      <c r="C20">
        <v>27758619</v>
      </c>
      <c r="D20">
        <v>15711866</v>
      </c>
      <c r="E20">
        <v>1</v>
      </c>
      <c r="F20">
        <v>1</v>
      </c>
      <c r="G20">
        <v>1</v>
      </c>
      <c r="H20">
        <v>3</v>
      </c>
      <c r="I20" t="s">
        <v>277</v>
      </c>
      <c r="J20" t="s">
        <v>278</v>
      </c>
      <c r="K20" t="s">
        <v>279</v>
      </c>
      <c r="L20">
        <v>1339</v>
      </c>
      <c r="N20">
        <v>1007</v>
      </c>
      <c r="O20" t="s">
        <v>34</v>
      </c>
      <c r="P20" t="s">
        <v>34</v>
      </c>
      <c r="Q20">
        <v>1</v>
      </c>
      <c r="W20">
        <v>0</v>
      </c>
      <c r="X20">
        <v>2006498719</v>
      </c>
      <c r="Y20">
        <v>102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f>' 8-гр. ЛС 1 (2)'!G54</f>
        <v>0</v>
      </c>
      <c r="AG20">
        <v>0</v>
      </c>
      <c r="AH20">
        <v>0</v>
      </c>
      <c r="AJ20">
        <v>1</v>
      </c>
      <c r="AK20">
        <f>ROUND(Y20*AF20,4)</f>
        <v>0</v>
      </c>
      <c r="AL20">
        <v>1</v>
      </c>
      <c r="AN20">
        <v>0</v>
      </c>
      <c r="AO20">
        <v>0</v>
      </c>
      <c r="AP20">
        <v>0</v>
      </c>
      <c r="AQ20">
        <v>1</v>
      </c>
      <c r="AR20">
        <v>0</v>
      </c>
      <c r="AS20" t="s">
        <v>3</v>
      </c>
      <c r="AT20">
        <v>102</v>
      </c>
      <c r="AU20" t="s">
        <v>3</v>
      </c>
      <c r="AV20">
        <v>0</v>
      </c>
      <c r="AW20">
        <v>2</v>
      </c>
      <c r="AX20">
        <v>27758634</v>
      </c>
      <c r="AY20">
        <v>1</v>
      </c>
      <c r="AZ20">
        <v>0</v>
      </c>
      <c r="BA20">
        <v>20</v>
      </c>
      <c r="BB20">
        <v>1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f>' 8-гр. ЛС 1 (2)'!G54*SmtRes!Y20</f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Y20*Source!I25</f>
        <v>7.1400000000000006</v>
      </c>
      <c r="CY20">
        <f>AA20</f>
        <v>0</v>
      </c>
      <c r="CZ20">
        <f>AE20</f>
        <v>0</v>
      </c>
      <c r="DA20">
        <f>AI20</f>
        <v>0</v>
      </c>
      <c r="DB20">
        <v>0</v>
      </c>
    </row>
    <row r="21" spans="1:106" x14ac:dyDescent="0.2">
      <c r="A21">
        <f>ROW(Source!A25)</f>
        <v>25</v>
      </c>
      <c r="B21">
        <v>27758530</v>
      </c>
      <c r="C21">
        <v>27758619</v>
      </c>
      <c r="D21">
        <v>15721795</v>
      </c>
      <c r="E21">
        <v>1</v>
      </c>
      <c r="F21">
        <v>1</v>
      </c>
      <c r="G21">
        <v>1</v>
      </c>
      <c r="H21">
        <v>3</v>
      </c>
      <c r="I21" t="s">
        <v>280</v>
      </c>
      <c r="J21" t="s">
        <v>281</v>
      </c>
      <c r="K21" t="s">
        <v>282</v>
      </c>
      <c r="L21">
        <v>1339</v>
      </c>
      <c r="N21">
        <v>1007</v>
      </c>
      <c r="O21" t="s">
        <v>34</v>
      </c>
      <c r="P21" t="s">
        <v>34</v>
      </c>
      <c r="Q21">
        <v>1</v>
      </c>
      <c r="W21">
        <v>0</v>
      </c>
      <c r="X21">
        <v>-586330449</v>
      </c>
      <c r="Y21">
        <v>0.2</v>
      </c>
      <c r="AA21">
        <v>18.29</v>
      </c>
      <c r="AB21">
        <v>0</v>
      </c>
      <c r="AC21">
        <v>0</v>
      </c>
      <c r="AD21">
        <v>0</v>
      </c>
      <c r="AE21">
        <v>18.29</v>
      </c>
      <c r="AF21">
        <f>' 8-гр. ЛС 1 (2)'!G55</f>
        <v>18.29</v>
      </c>
      <c r="AG21">
        <v>0</v>
      </c>
      <c r="AH21">
        <v>0</v>
      </c>
      <c r="AJ21">
        <v>1</v>
      </c>
      <c r="AK21">
        <f>ROUND(Y21*AF21,4)</f>
        <v>3.6579999999999999</v>
      </c>
      <c r="AL21">
        <v>1</v>
      </c>
      <c r="AN21">
        <v>0</v>
      </c>
      <c r="AO21">
        <v>0</v>
      </c>
      <c r="AP21">
        <v>0</v>
      </c>
      <c r="AQ21">
        <v>1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27758635</v>
      </c>
      <c r="AY21">
        <v>1</v>
      </c>
      <c r="AZ21">
        <v>0</v>
      </c>
      <c r="BA21">
        <v>21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3.6579999999999999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</v>
      </c>
      <c r="BQ21">
        <f>' 8-гр. ЛС 1 (2)'!G55*SmtRes!Y21</f>
        <v>3.6579999999999999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1</v>
      </c>
      <c r="CX21">
        <f>Y21*Source!I25</f>
        <v>1.4000000000000002E-2</v>
      </c>
      <c r="CY21">
        <f>AA21</f>
        <v>18.29</v>
      </c>
      <c r="CZ21">
        <f>AE21</f>
        <v>18.29</v>
      </c>
      <c r="DA21">
        <f>AI21</f>
        <v>0</v>
      </c>
      <c r="DB21">
        <v>0</v>
      </c>
    </row>
    <row r="22" spans="1:106" x14ac:dyDescent="0.2">
      <c r="A22">
        <f>ROW(Source!A27)</f>
        <v>27</v>
      </c>
      <c r="B22">
        <v>27758530</v>
      </c>
      <c r="C22">
        <v>27758637</v>
      </c>
      <c r="D22">
        <v>9254625</v>
      </c>
      <c r="E22">
        <v>1</v>
      </c>
      <c r="F22">
        <v>1</v>
      </c>
      <c r="G22">
        <v>1</v>
      </c>
      <c r="H22">
        <v>1</v>
      </c>
      <c r="I22" t="s">
        <v>263</v>
      </c>
      <c r="J22" t="s">
        <v>3</v>
      </c>
      <c r="K22" t="s">
        <v>264</v>
      </c>
      <c r="L22">
        <v>1369</v>
      </c>
      <c r="N22">
        <v>1013</v>
      </c>
      <c r="O22" t="s">
        <v>228</v>
      </c>
      <c r="P22" t="s">
        <v>228</v>
      </c>
      <c r="Q22">
        <v>1</v>
      </c>
      <c r="W22">
        <v>0</v>
      </c>
      <c r="X22">
        <v>1607597553</v>
      </c>
      <c r="Y22">
        <v>180</v>
      </c>
      <c r="AA22">
        <v>0</v>
      </c>
      <c r="AB22">
        <v>0</v>
      </c>
      <c r="AC22">
        <v>0</v>
      </c>
      <c r="AD22">
        <v>100</v>
      </c>
      <c r="AE22">
        <v>0</v>
      </c>
      <c r="AF22">
        <v>0</v>
      </c>
      <c r="AG22">
        <v>0</v>
      </c>
      <c r="AH22">
        <v>100</v>
      </c>
      <c r="AI22">
        <f>' 8-гр. ЛС 1 (2)'!G62</f>
        <v>100</v>
      </c>
      <c r="AJ22">
        <v>1</v>
      </c>
      <c r="AK22">
        <f>ROUND(Y22*AI22,4)</f>
        <v>18000</v>
      </c>
      <c r="AL22">
        <v>1</v>
      </c>
      <c r="AN22">
        <v>0</v>
      </c>
      <c r="AO22">
        <v>0</v>
      </c>
      <c r="AP22">
        <v>0</v>
      </c>
      <c r="AQ22">
        <v>1</v>
      </c>
      <c r="AR22">
        <v>0</v>
      </c>
      <c r="AS22" t="s">
        <v>3</v>
      </c>
      <c r="AT22">
        <v>180</v>
      </c>
      <c r="AU22" t="s">
        <v>3</v>
      </c>
      <c r="AV22">
        <v>1</v>
      </c>
      <c r="AW22">
        <v>2</v>
      </c>
      <c r="AX22">
        <v>27758646</v>
      </c>
      <c r="AY22">
        <v>2</v>
      </c>
      <c r="AZ22">
        <v>131072</v>
      </c>
      <c r="BA22">
        <v>22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18000</v>
      </c>
      <c r="BN22">
        <v>180</v>
      </c>
      <c r="BO22">
        <v>0</v>
      </c>
      <c r="BP22">
        <v>1</v>
      </c>
      <c r="BQ22">
        <v>0</v>
      </c>
      <c r="BR22">
        <v>0</v>
      </c>
      <c r="BS22">
        <v>0</v>
      </c>
      <c r="BT22">
        <f>' 8-гр. ЛС 1 (2)'!G62*SmtRes!Y22</f>
        <v>18000</v>
      </c>
      <c r="BU22">
        <v>180</v>
      </c>
      <c r="BV22">
        <v>0</v>
      </c>
      <c r="BW22">
        <v>1</v>
      </c>
      <c r="CX22">
        <f>Y22*Source!I27</f>
        <v>167.4</v>
      </c>
      <c r="CY22">
        <f>AD22</f>
        <v>100</v>
      </c>
      <c r="CZ22">
        <f>AH22</f>
        <v>100</v>
      </c>
      <c r="DA22">
        <f>AL22</f>
        <v>1</v>
      </c>
      <c r="DB22">
        <v>0</v>
      </c>
    </row>
    <row r="23" spans="1:106" x14ac:dyDescent="0.2">
      <c r="A23">
        <f>ROW(Source!A27)</f>
        <v>27</v>
      </c>
      <c r="B23">
        <v>27758530</v>
      </c>
      <c r="C23">
        <v>27758637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24</v>
      </c>
      <c r="J23" t="s">
        <v>3</v>
      </c>
      <c r="K23" t="s">
        <v>229</v>
      </c>
      <c r="L23">
        <v>608254</v>
      </c>
      <c r="N23">
        <v>1013</v>
      </c>
      <c r="O23" t="s">
        <v>230</v>
      </c>
      <c r="P23" t="s">
        <v>230</v>
      </c>
      <c r="Q23">
        <v>1</v>
      </c>
      <c r="W23">
        <v>0</v>
      </c>
      <c r="X23">
        <v>-185737400</v>
      </c>
      <c r="Y23">
        <v>18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f>' 8-гр. ЛС 1 (2)'!G63</f>
        <v>0</v>
      </c>
      <c r="AJ23">
        <v>1</v>
      </c>
      <c r="AK23">
        <f>AVERAGE(AH24*Y24,AH25*Y25,AH26*Y26)*Source!I27</f>
        <v>1531.2078000000001</v>
      </c>
      <c r="AL23">
        <v>1</v>
      </c>
      <c r="AN23">
        <v>0</v>
      </c>
      <c r="AO23">
        <v>0</v>
      </c>
      <c r="AP23">
        <v>0</v>
      </c>
      <c r="AQ23">
        <v>1</v>
      </c>
      <c r="AR23">
        <v>0</v>
      </c>
      <c r="AS23" t="s">
        <v>3</v>
      </c>
      <c r="AT23">
        <v>18</v>
      </c>
      <c r="AU23" t="s">
        <v>3</v>
      </c>
      <c r="AV23">
        <v>2</v>
      </c>
      <c r="AW23">
        <v>2</v>
      </c>
      <c r="AX23">
        <v>27758647</v>
      </c>
      <c r="AY23">
        <v>1</v>
      </c>
      <c r="AZ23">
        <v>0</v>
      </c>
      <c r="BA23">
        <v>23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18</v>
      </c>
      <c r="BP23">
        <v>1</v>
      </c>
      <c r="BQ23">
        <v>0</v>
      </c>
      <c r="BR23">
        <v>0</v>
      </c>
      <c r="BS23">
        <v>0</v>
      </c>
      <c r="BT23">
        <f>' 8-гр. ЛС 1 (2)'!G63*SmtRes!Y23</f>
        <v>0</v>
      </c>
      <c r="BU23">
        <v>0</v>
      </c>
      <c r="BV23">
        <v>18</v>
      </c>
      <c r="BW23">
        <v>1</v>
      </c>
      <c r="CX23">
        <f>Y23*Source!I27</f>
        <v>16.740000000000002</v>
      </c>
      <c r="CY23">
        <f>AD23</f>
        <v>0</v>
      </c>
      <c r="CZ23">
        <f>AH23</f>
        <v>0</v>
      </c>
      <c r="DA23">
        <f>AL23</f>
        <v>1</v>
      </c>
      <c r="DB23">
        <v>0</v>
      </c>
    </row>
    <row r="24" spans="1:106" x14ac:dyDescent="0.2">
      <c r="A24">
        <f>ROW(Source!A27)</f>
        <v>27</v>
      </c>
      <c r="B24">
        <v>27758530</v>
      </c>
      <c r="C24">
        <v>27758637</v>
      </c>
      <c r="D24">
        <v>15709189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234</v>
      </c>
      <c r="P24" t="s">
        <v>234</v>
      </c>
      <c r="Q24">
        <v>1</v>
      </c>
      <c r="W24">
        <v>0</v>
      </c>
      <c r="X24">
        <v>-1319545563</v>
      </c>
      <c r="Y24">
        <v>18</v>
      </c>
      <c r="AA24">
        <v>0</v>
      </c>
      <c r="AB24">
        <v>513.19000000000005</v>
      </c>
      <c r="AC24">
        <v>274.41000000000003</v>
      </c>
      <c r="AD24">
        <v>0</v>
      </c>
      <c r="AE24">
        <v>0</v>
      </c>
      <c r="AF24">
        <v>513.19000000000005</v>
      </c>
      <c r="AG24">
        <f>' 8-гр. ЛС 1 (2)'!G65</f>
        <v>513.19000000000005</v>
      </c>
      <c r="AH24">
        <f>' 8-гр. ЛС 1 (2)'!G66</f>
        <v>274.41000000000003</v>
      </c>
      <c r="AJ24">
        <v>1</v>
      </c>
      <c r="AK24">
        <f>ROUND(Y24*AG24,4)</f>
        <v>9237.42</v>
      </c>
      <c r="AL24">
        <v>1</v>
      </c>
      <c r="AN24">
        <v>0</v>
      </c>
      <c r="AO24">
        <v>0</v>
      </c>
      <c r="AP24">
        <v>0</v>
      </c>
      <c r="AQ24">
        <v>1</v>
      </c>
      <c r="AR24">
        <v>0</v>
      </c>
      <c r="AS24" t="s">
        <v>3</v>
      </c>
      <c r="AT24">
        <v>18</v>
      </c>
      <c r="AU24" t="s">
        <v>3</v>
      </c>
      <c r="AV24">
        <v>0</v>
      </c>
      <c r="AW24">
        <v>2</v>
      </c>
      <c r="AX24">
        <v>27758648</v>
      </c>
      <c r="AY24">
        <v>1</v>
      </c>
      <c r="AZ24">
        <v>0</v>
      </c>
      <c r="BA24">
        <v>24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9237.4200000000019</v>
      </c>
      <c r="BL24">
        <v>4939.38</v>
      </c>
      <c r="BM24">
        <v>0</v>
      </c>
      <c r="BN24">
        <v>0</v>
      </c>
      <c r="BO24">
        <v>0</v>
      </c>
      <c r="BP24">
        <v>1</v>
      </c>
      <c r="BQ24">
        <v>0</v>
      </c>
      <c r="BR24">
        <f>' 8-гр. ЛС 1 (2)'!G65*SmtRes!Y24</f>
        <v>9237.4200000000019</v>
      </c>
      <c r="BS24">
        <f>' 8-гр. ЛС 1 (2)'!G66*SmtRes!Y24</f>
        <v>4939.38</v>
      </c>
      <c r="BT24">
        <v>0</v>
      </c>
      <c r="BU24">
        <v>0</v>
      </c>
      <c r="BV24">
        <v>0</v>
      </c>
      <c r="BW24">
        <v>1</v>
      </c>
      <c r="CX24">
        <f>Y24*Source!I27</f>
        <v>16.740000000000002</v>
      </c>
      <c r="CY24">
        <f>AB24</f>
        <v>513.19000000000005</v>
      </c>
      <c r="CZ24">
        <f>AF24</f>
        <v>513.19000000000005</v>
      </c>
      <c r="DA24">
        <f>AJ24</f>
        <v>1</v>
      </c>
      <c r="DB24">
        <v>0</v>
      </c>
    </row>
    <row r="25" spans="1:106" x14ac:dyDescent="0.2">
      <c r="A25">
        <f>ROW(Source!A27)</f>
        <v>27</v>
      </c>
      <c r="B25">
        <v>27758530</v>
      </c>
      <c r="C25">
        <v>27758637</v>
      </c>
      <c r="D25">
        <v>15709829</v>
      </c>
      <c r="E25">
        <v>1</v>
      </c>
      <c r="F25">
        <v>1</v>
      </c>
      <c r="G25">
        <v>1</v>
      </c>
      <c r="H25">
        <v>2</v>
      </c>
      <c r="I25" t="s">
        <v>268</v>
      </c>
      <c r="J25" t="s">
        <v>269</v>
      </c>
      <c r="K25" t="s">
        <v>270</v>
      </c>
      <c r="L25">
        <v>1368</v>
      </c>
      <c r="N25">
        <v>1011</v>
      </c>
      <c r="O25" t="s">
        <v>234</v>
      </c>
      <c r="P25" t="s">
        <v>234</v>
      </c>
      <c r="Q25">
        <v>1</v>
      </c>
      <c r="W25">
        <v>0</v>
      </c>
      <c r="X25">
        <v>-1375175564</v>
      </c>
      <c r="Y25">
        <v>48</v>
      </c>
      <c r="AA25">
        <v>0</v>
      </c>
      <c r="AB25">
        <v>2.38</v>
      </c>
      <c r="AC25">
        <v>0</v>
      </c>
      <c r="AD25">
        <v>0</v>
      </c>
      <c r="AE25">
        <v>0</v>
      </c>
      <c r="AF25">
        <v>2.38</v>
      </c>
      <c r="AG25">
        <f>' 8-гр. ЛС 1 (2)'!G67</f>
        <v>2.38</v>
      </c>
      <c r="AH25">
        <f>ROUND(AC25,2)</f>
        <v>0</v>
      </c>
      <c r="AJ25">
        <v>1</v>
      </c>
      <c r="AK25">
        <f>ROUND(Y25*AG25,4)</f>
        <v>114.24</v>
      </c>
      <c r="AL25">
        <v>1</v>
      </c>
      <c r="AN25">
        <v>0</v>
      </c>
      <c r="AO25">
        <v>0</v>
      </c>
      <c r="AP25">
        <v>0</v>
      </c>
      <c r="AQ25">
        <v>1</v>
      </c>
      <c r="AR25">
        <v>0</v>
      </c>
      <c r="AS25" t="s">
        <v>3</v>
      </c>
      <c r="AT25">
        <v>48</v>
      </c>
      <c r="AU25" t="s">
        <v>3</v>
      </c>
      <c r="AV25">
        <v>0</v>
      </c>
      <c r="AW25">
        <v>2</v>
      </c>
      <c r="AX25">
        <v>27758649</v>
      </c>
      <c r="AY25">
        <v>1</v>
      </c>
      <c r="AZ25">
        <v>0</v>
      </c>
      <c r="BA25">
        <v>25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114.24</v>
      </c>
      <c r="BL25">
        <v>0</v>
      </c>
      <c r="BM25">
        <v>0</v>
      </c>
      <c r="BN25">
        <v>0</v>
      </c>
      <c r="BO25">
        <v>0</v>
      </c>
      <c r="BP25">
        <v>1</v>
      </c>
      <c r="BQ25">
        <v>0</v>
      </c>
      <c r="BR25">
        <f>' 8-гр. ЛС 1 (2)'!G67*SmtRes!Y25</f>
        <v>114.24</v>
      </c>
      <c r="BS25">
        <v>0</v>
      </c>
      <c r="BT25">
        <v>0</v>
      </c>
      <c r="BU25">
        <v>0</v>
      </c>
      <c r="BV25">
        <v>0</v>
      </c>
      <c r="BW25">
        <v>1</v>
      </c>
      <c r="CX25">
        <f>Y25*Source!I27</f>
        <v>44.64</v>
      </c>
      <c r="CY25">
        <f>AB25</f>
        <v>2.38</v>
      </c>
      <c r="CZ25">
        <f>AF25</f>
        <v>2.38</v>
      </c>
      <c r="DA25">
        <f>AJ25</f>
        <v>1</v>
      </c>
      <c r="DB25">
        <v>0</v>
      </c>
    </row>
    <row r="26" spans="1:106" x14ac:dyDescent="0.2">
      <c r="A26">
        <f>ROW(Source!A27)</f>
        <v>27</v>
      </c>
      <c r="B26">
        <v>27758530</v>
      </c>
      <c r="C26">
        <v>27758637</v>
      </c>
      <c r="D26">
        <v>15711260</v>
      </c>
      <c r="E26">
        <v>1</v>
      </c>
      <c r="F26">
        <v>1</v>
      </c>
      <c r="G26">
        <v>1</v>
      </c>
      <c r="H26">
        <v>2</v>
      </c>
      <c r="I26" t="s">
        <v>271</v>
      </c>
      <c r="J26" t="s">
        <v>272</v>
      </c>
      <c r="K26" t="s">
        <v>273</v>
      </c>
      <c r="L26">
        <v>1368</v>
      </c>
      <c r="N26">
        <v>1011</v>
      </c>
      <c r="O26" t="s">
        <v>234</v>
      </c>
      <c r="P26" t="s">
        <v>234</v>
      </c>
      <c r="Q26">
        <v>1</v>
      </c>
      <c r="W26">
        <v>0</v>
      </c>
      <c r="X26">
        <v>-706219601</v>
      </c>
      <c r="Y26">
        <v>0.13</v>
      </c>
      <c r="AA26">
        <v>0</v>
      </c>
      <c r="AB26">
        <v>822.45</v>
      </c>
      <c r="AC26">
        <v>0</v>
      </c>
      <c r="AD26">
        <v>0</v>
      </c>
      <c r="AE26">
        <v>0</v>
      </c>
      <c r="AF26">
        <v>822.45</v>
      </c>
      <c r="AG26">
        <f>' 8-гр. ЛС 1 (2)'!G68</f>
        <v>822.45</v>
      </c>
      <c r="AH26">
        <f>ROUND(AC26,2)</f>
        <v>0</v>
      </c>
      <c r="AJ26">
        <v>1</v>
      </c>
      <c r="AK26">
        <f>ROUND(Y26*AG26,4)</f>
        <v>106.91849999999999</v>
      </c>
      <c r="AL26">
        <v>1</v>
      </c>
      <c r="AN26">
        <v>0</v>
      </c>
      <c r="AO26">
        <v>0</v>
      </c>
      <c r="AP26">
        <v>0</v>
      </c>
      <c r="AQ26">
        <v>1</v>
      </c>
      <c r="AR26">
        <v>0</v>
      </c>
      <c r="AS26" t="s">
        <v>3</v>
      </c>
      <c r="AT26">
        <v>0.13</v>
      </c>
      <c r="AU26" t="s">
        <v>3</v>
      </c>
      <c r="AV26">
        <v>0</v>
      </c>
      <c r="AW26">
        <v>2</v>
      </c>
      <c r="AX26">
        <v>27758650</v>
      </c>
      <c r="AY26">
        <v>1</v>
      </c>
      <c r="AZ26">
        <v>0</v>
      </c>
      <c r="BA26">
        <v>26</v>
      </c>
      <c r="BB26">
        <v>1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106.91850000000001</v>
      </c>
      <c r="BL26">
        <v>0</v>
      </c>
      <c r="BM26">
        <v>0</v>
      </c>
      <c r="BN26">
        <v>0</v>
      </c>
      <c r="BO26">
        <v>0</v>
      </c>
      <c r="BP26">
        <v>1</v>
      </c>
      <c r="BQ26">
        <v>0</v>
      </c>
      <c r="BR26">
        <f>' 8-гр. ЛС 1 (2)'!G68*SmtRes!Y26</f>
        <v>106.91850000000001</v>
      </c>
      <c r="BS26">
        <v>0</v>
      </c>
      <c r="BT26">
        <v>0</v>
      </c>
      <c r="BU26">
        <v>0</v>
      </c>
      <c r="BV26">
        <v>0</v>
      </c>
      <c r="BW26">
        <v>1</v>
      </c>
      <c r="CX26">
        <f>Y26*Source!I27</f>
        <v>0.12090000000000001</v>
      </c>
      <c r="CY26">
        <f>AB26</f>
        <v>822.45</v>
      </c>
      <c r="CZ26">
        <f>AF26</f>
        <v>822.45</v>
      </c>
      <c r="DA26">
        <f>AJ26</f>
        <v>1</v>
      </c>
      <c r="DB26">
        <v>0</v>
      </c>
    </row>
    <row r="27" spans="1:106" x14ac:dyDescent="0.2">
      <c r="A27">
        <f>ROW(Source!A27)</f>
        <v>27</v>
      </c>
      <c r="B27">
        <v>27758530</v>
      </c>
      <c r="C27">
        <v>27758637</v>
      </c>
      <c r="D27">
        <v>15730378</v>
      </c>
      <c r="E27">
        <v>1</v>
      </c>
      <c r="F27">
        <v>1</v>
      </c>
      <c r="G27">
        <v>1</v>
      </c>
      <c r="H27">
        <v>3</v>
      </c>
      <c r="I27" t="s">
        <v>274</v>
      </c>
      <c r="J27" t="s">
        <v>275</v>
      </c>
      <c r="K27" t="s">
        <v>276</v>
      </c>
      <c r="L27">
        <v>1327</v>
      </c>
      <c r="N27">
        <v>1005</v>
      </c>
      <c r="O27" t="s">
        <v>73</v>
      </c>
      <c r="P27" t="s">
        <v>73</v>
      </c>
      <c r="Q27">
        <v>1</v>
      </c>
      <c r="W27">
        <v>0</v>
      </c>
      <c r="X27">
        <v>-1114916301</v>
      </c>
      <c r="Y27">
        <v>250</v>
      </c>
      <c r="AA27">
        <v>49.24</v>
      </c>
      <c r="AB27">
        <v>0</v>
      </c>
      <c r="AC27">
        <v>0</v>
      </c>
      <c r="AD27">
        <v>0</v>
      </c>
      <c r="AE27">
        <v>49.24</v>
      </c>
      <c r="AF27">
        <f>' 8-гр. ЛС 1 (2)'!G70</f>
        <v>49.24</v>
      </c>
      <c r="AG27">
        <v>0</v>
      </c>
      <c r="AH27">
        <v>0</v>
      </c>
      <c r="AJ27">
        <v>1</v>
      </c>
      <c r="AK27">
        <f>ROUND(Y27*AF27,4)</f>
        <v>12310</v>
      </c>
      <c r="AL27">
        <v>1</v>
      </c>
      <c r="AN27">
        <v>0</v>
      </c>
      <c r="AO27">
        <v>0</v>
      </c>
      <c r="AP27">
        <v>0</v>
      </c>
      <c r="AQ27">
        <v>1</v>
      </c>
      <c r="AR27">
        <v>0</v>
      </c>
      <c r="AS27" t="s">
        <v>3</v>
      </c>
      <c r="AT27">
        <v>250</v>
      </c>
      <c r="AU27" t="s">
        <v>3</v>
      </c>
      <c r="AV27">
        <v>0</v>
      </c>
      <c r="AW27">
        <v>2</v>
      </c>
      <c r="AX27">
        <v>27758651</v>
      </c>
      <c r="AY27">
        <v>1</v>
      </c>
      <c r="AZ27">
        <v>0</v>
      </c>
      <c r="BA27">
        <v>27</v>
      </c>
      <c r="BB27">
        <v>1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12310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1</v>
      </c>
      <c r="BQ27">
        <f>' 8-гр. ЛС 1 (2)'!G70*SmtRes!Y27</f>
        <v>12310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1</v>
      </c>
      <c r="CX27">
        <f>Y27*Source!I27</f>
        <v>232.5</v>
      </c>
      <c r="CY27">
        <f>AA27</f>
        <v>49.24</v>
      </c>
      <c r="CZ27">
        <f>AE27</f>
        <v>49.24</v>
      </c>
      <c r="DA27">
        <f>AI27</f>
        <v>0</v>
      </c>
      <c r="DB27">
        <v>0</v>
      </c>
    </row>
    <row r="28" spans="1:106" x14ac:dyDescent="0.2">
      <c r="A28">
        <f>ROW(Source!A27)</f>
        <v>27</v>
      </c>
      <c r="B28">
        <v>27758530</v>
      </c>
      <c r="C28">
        <v>27758637</v>
      </c>
      <c r="D28">
        <v>15711866</v>
      </c>
      <c r="E28">
        <v>1</v>
      </c>
      <c r="F28">
        <v>1</v>
      </c>
      <c r="G28">
        <v>1</v>
      </c>
      <c r="H28">
        <v>3</v>
      </c>
      <c r="I28" t="s">
        <v>277</v>
      </c>
      <c r="J28" t="s">
        <v>278</v>
      </c>
      <c r="K28" t="s">
        <v>279</v>
      </c>
      <c r="L28">
        <v>1339</v>
      </c>
      <c r="N28">
        <v>1007</v>
      </c>
      <c r="O28" t="s">
        <v>34</v>
      </c>
      <c r="P28" t="s">
        <v>34</v>
      </c>
      <c r="Q28">
        <v>1</v>
      </c>
      <c r="W28">
        <v>0</v>
      </c>
      <c r="X28">
        <v>2006498719</v>
      </c>
      <c r="Y28">
        <v>102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f>' 8-гр. ЛС 1 (2)'!G71</f>
        <v>0</v>
      </c>
      <c r="AG28">
        <v>0</v>
      </c>
      <c r="AH28">
        <v>0</v>
      </c>
      <c r="AJ28">
        <v>1</v>
      </c>
      <c r="AK28">
        <f>ROUND(Y28*AF28,4)</f>
        <v>0</v>
      </c>
      <c r="AL28">
        <v>1</v>
      </c>
      <c r="AN28">
        <v>0</v>
      </c>
      <c r="AO28">
        <v>0</v>
      </c>
      <c r="AP28">
        <v>0</v>
      </c>
      <c r="AQ28">
        <v>1</v>
      </c>
      <c r="AR28">
        <v>0</v>
      </c>
      <c r="AS28" t="s">
        <v>3</v>
      </c>
      <c r="AT28">
        <v>102</v>
      </c>
      <c r="AU28" t="s">
        <v>3</v>
      </c>
      <c r="AV28">
        <v>0</v>
      </c>
      <c r="AW28">
        <v>2</v>
      </c>
      <c r="AX28">
        <v>27758652</v>
      </c>
      <c r="AY28">
        <v>1</v>
      </c>
      <c r="AZ28">
        <v>0</v>
      </c>
      <c r="BA28">
        <v>28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f>' 8-гр. ЛС 1 (2)'!G71*SmtRes!Y28</f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Y28*Source!I27</f>
        <v>94.86</v>
      </c>
      <c r="CY28">
        <f>AA28</f>
        <v>0</v>
      </c>
      <c r="CZ28">
        <f>AE28</f>
        <v>0</v>
      </c>
      <c r="DA28">
        <f>AI28</f>
        <v>0</v>
      </c>
      <c r="DB28">
        <v>0</v>
      </c>
    </row>
    <row r="29" spans="1:106" x14ac:dyDescent="0.2">
      <c r="A29">
        <f>ROW(Source!A27)</f>
        <v>27</v>
      </c>
      <c r="B29">
        <v>27758530</v>
      </c>
      <c r="C29">
        <v>27758637</v>
      </c>
      <c r="D29">
        <v>15721795</v>
      </c>
      <c r="E29">
        <v>1</v>
      </c>
      <c r="F29">
        <v>1</v>
      </c>
      <c r="G29">
        <v>1</v>
      </c>
      <c r="H29">
        <v>3</v>
      </c>
      <c r="I29" t="s">
        <v>280</v>
      </c>
      <c r="J29" t="s">
        <v>281</v>
      </c>
      <c r="K29" t="s">
        <v>282</v>
      </c>
      <c r="L29">
        <v>1339</v>
      </c>
      <c r="N29">
        <v>1007</v>
      </c>
      <c r="O29" t="s">
        <v>34</v>
      </c>
      <c r="P29" t="s">
        <v>34</v>
      </c>
      <c r="Q29">
        <v>1</v>
      </c>
      <c r="W29">
        <v>0</v>
      </c>
      <c r="X29">
        <v>-586330449</v>
      </c>
      <c r="Y29">
        <v>0.2</v>
      </c>
      <c r="AA29">
        <v>18.29</v>
      </c>
      <c r="AB29">
        <v>0</v>
      </c>
      <c r="AC29">
        <v>0</v>
      </c>
      <c r="AD29">
        <v>0</v>
      </c>
      <c r="AE29">
        <v>18.29</v>
      </c>
      <c r="AF29">
        <f>' 8-гр. ЛС 1 (2)'!G72</f>
        <v>18.29</v>
      </c>
      <c r="AG29">
        <v>0</v>
      </c>
      <c r="AH29">
        <v>0</v>
      </c>
      <c r="AJ29">
        <v>1</v>
      </c>
      <c r="AK29">
        <f>ROUND(Y29*AF29,4)</f>
        <v>3.6579999999999999</v>
      </c>
      <c r="AL29">
        <v>1</v>
      </c>
      <c r="AN29">
        <v>0</v>
      </c>
      <c r="AO29">
        <v>0</v>
      </c>
      <c r="AP29">
        <v>0</v>
      </c>
      <c r="AQ29">
        <v>1</v>
      </c>
      <c r="AR29">
        <v>0</v>
      </c>
      <c r="AS29" t="s">
        <v>3</v>
      </c>
      <c r="AT29">
        <v>0.2</v>
      </c>
      <c r="AU29" t="s">
        <v>3</v>
      </c>
      <c r="AV29">
        <v>0</v>
      </c>
      <c r="AW29">
        <v>2</v>
      </c>
      <c r="AX29">
        <v>27758653</v>
      </c>
      <c r="AY29">
        <v>1</v>
      </c>
      <c r="AZ29">
        <v>0</v>
      </c>
      <c r="BA29">
        <v>29</v>
      </c>
      <c r="BB29">
        <v>1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3.6579999999999999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1</v>
      </c>
      <c r="BQ29">
        <f>' 8-гр. ЛС 1 (2)'!G72*SmtRes!Y29</f>
        <v>3.6579999999999999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1</v>
      </c>
      <c r="CX29">
        <f>Y29*Source!I27</f>
        <v>0.18600000000000003</v>
      </c>
      <c r="CY29">
        <f>AA29</f>
        <v>18.29</v>
      </c>
      <c r="CZ29">
        <f>AE29</f>
        <v>18.29</v>
      </c>
      <c r="DA29">
        <f>AI29</f>
        <v>0</v>
      </c>
      <c r="DB29">
        <v>0</v>
      </c>
    </row>
    <row r="30" spans="1:106" x14ac:dyDescent="0.2">
      <c r="A30">
        <f>ROW(Source!A28)</f>
        <v>28</v>
      </c>
      <c r="B30">
        <v>27758530</v>
      </c>
      <c r="C30">
        <v>27758654</v>
      </c>
      <c r="D30">
        <v>15711268</v>
      </c>
      <c r="E30">
        <v>1</v>
      </c>
      <c r="F30">
        <v>1</v>
      </c>
      <c r="G30">
        <v>1</v>
      </c>
      <c r="H30">
        <v>2</v>
      </c>
      <c r="I30" t="s">
        <v>283</v>
      </c>
      <c r="J30" t="s">
        <v>284</v>
      </c>
      <c r="K30" t="s">
        <v>285</v>
      </c>
      <c r="L30">
        <v>1368</v>
      </c>
      <c r="N30">
        <v>1011</v>
      </c>
      <c r="O30" t="s">
        <v>234</v>
      </c>
      <c r="P30" t="s">
        <v>234</v>
      </c>
      <c r="Q30">
        <v>1</v>
      </c>
      <c r="W30">
        <v>0</v>
      </c>
      <c r="X30">
        <v>-39731022</v>
      </c>
      <c r="Y30">
        <v>0.13300000000000001</v>
      </c>
      <c r="AA30">
        <v>0</v>
      </c>
      <c r="AB30">
        <v>19000</v>
      </c>
      <c r="AC30">
        <v>0</v>
      </c>
      <c r="AD30">
        <v>0</v>
      </c>
      <c r="AE30">
        <v>0</v>
      </c>
      <c r="AF30">
        <v>19000</v>
      </c>
      <c r="AG30">
        <f>' 8-гр. ЛС 1 (2)'!G79</f>
        <v>19000</v>
      </c>
      <c r="AH30">
        <f>ROUND(AC30,2)</f>
        <v>0</v>
      </c>
      <c r="AJ30">
        <v>1</v>
      </c>
      <c r="AK30">
        <f>ROUND(Y30*AG30,4)</f>
        <v>2527</v>
      </c>
      <c r="AL30">
        <v>1</v>
      </c>
      <c r="AN30">
        <v>0</v>
      </c>
      <c r="AO30">
        <v>0</v>
      </c>
      <c r="AP30">
        <v>0</v>
      </c>
      <c r="AQ30">
        <v>1</v>
      </c>
      <c r="AR30">
        <v>0</v>
      </c>
      <c r="AS30" t="s">
        <v>3</v>
      </c>
      <c r="AT30">
        <v>0.13300000000000001</v>
      </c>
      <c r="AU30" t="s">
        <v>3</v>
      </c>
      <c r="AV30">
        <v>0</v>
      </c>
      <c r="AW30">
        <v>2</v>
      </c>
      <c r="AX30">
        <v>27758656</v>
      </c>
      <c r="AY30">
        <v>2</v>
      </c>
      <c r="AZ30">
        <v>32768</v>
      </c>
      <c r="BA30">
        <v>30</v>
      </c>
      <c r="BB30">
        <v>1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2527</v>
      </c>
      <c r="BL30">
        <v>0</v>
      </c>
      <c r="BM30">
        <v>0</v>
      </c>
      <c r="BN30">
        <v>0</v>
      </c>
      <c r="BO30">
        <v>0</v>
      </c>
      <c r="BP30">
        <v>1</v>
      </c>
      <c r="BQ30">
        <v>0</v>
      </c>
      <c r="BR30">
        <f>' 8-гр. ЛС 1 (2)'!G79*SmtRes!Y30</f>
        <v>2527</v>
      </c>
      <c r="BS30">
        <v>0</v>
      </c>
      <c r="BT30">
        <v>0</v>
      </c>
      <c r="BU30">
        <v>0</v>
      </c>
      <c r="BV30">
        <v>0</v>
      </c>
      <c r="BW30">
        <v>1</v>
      </c>
      <c r="CX30">
        <f>Y30*Source!I28</f>
        <v>0.53466000000000002</v>
      </c>
      <c r="CY30">
        <f>AB30</f>
        <v>19000</v>
      </c>
      <c r="CZ30">
        <f>AF30</f>
        <v>19000</v>
      </c>
      <c r="DA30">
        <f>AJ30</f>
        <v>1</v>
      </c>
      <c r="DB30">
        <v>0</v>
      </c>
    </row>
    <row r="31" spans="1:106" x14ac:dyDescent="0.2">
      <c r="A31">
        <f>ROW(Source!A29)</f>
        <v>29</v>
      </c>
      <c r="B31">
        <v>27758530</v>
      </c>
      <c r="C31">
        <v>27758657</v>
      </c>
      <c r="D31">
        <v>9257039</v>
      </c>
      <c r="E31">
        <v>1</v>
      </c>
      <c r="F31">
        <v>1</v>
      </c>
      <c r="G31">
        <v>1</v>
      </c>
      <c r="H31">
        <v>1</v>
      </c>
      <c r="I31" t="s">
        <v>286</v>
      </c>
      <c r="J31" t="s">
        <v>3</v>
      </c>
      <c r="K31" t="s">
        <v>287</v>
      </c>
      <c r="L31">
        <v>1369</v>
      </c>
      <c r="N31">
        <v>1013</v>
      </c>
      <c r="O31" t="s">
        <v>228</v>
      </c>
      <c r="P31" t="s">
        <v>228</v>
      </c>
      <c r="Q31">
        <v>1</v>
      </c>
      <c r="W31">
        <v>0</v>
      </c>
      <c r="X31">
        <v>-1675115149</v>
      </c>
      <c r="Y31">
        <v>95.92</v>
      </c>
      <c r="AA31">
        <v>0</v>
      </c>
      <c r="AB31">
        <v>0</v>
      </c>
      <c r="AC31">
        <v>0</v>
      </c>
      <c r="AD31">
        <v>650</v>
      </c>
      <c r="AE31">
        <v>0</v>
      </c>
      <c r="AF31">
        <v>0</v>
      </c>
      <c r="AG31">
        <v>0</v>
      </c>
      <c r="AH31">
        <v>650</v>
      </c>
      <c r="AI31">
        <f>' 8-гр. ЛС 1 (2)'!G85</f>
        <v>650</v>
      </c>
      <c r="AJ31">
        <v>1</v>
      </c>
      <c r="AK31">
        <f>ROUND(Y31*AI31,4)</f>
        <v>62348</v>
      </c>
      <c r="AL31">
        <v>1</v>
      </c>
      <c r="AN31">
        <v>0</v>
      </c>
      <c r="AO31">
        <v>0</v>
      </c>
      <c r="AP31">
        <v>0</v>
      </c>
      <c r="AQ31">
        <v>1</v>
      </c>
      <c r="AR31">
        <v>0</v>
      </c>
      <c r="AS31" t="s">
        <v>3</v>
      </c>
      <c r="AT31">
        <v>95.92</v>
      </c>
      <c r="AU31" t="s">
        <v>3</v>
      </c>
      <c r="AV31">
        <v>1</v>
      </c>
      <c r="AW31">
        <v>2</v>
      </c>
      <c r="AX31">
        <v>27758669</v>
      </c>
      <c r="AY31">
        <v>2</v>
      </c>
      <c r="AZ31">
        <v>131072</v>
      </c>
      <c r="BA31">
        <v>31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62348</v>
      </c>
      <c r="BN31">
        <v>95.92</v>
      </c>
      <c r="BO31">
        <v>0</v>
      </c>
      <c r="BP31">
        <v>1</v>
      </c>
      <c r="BQ31">
        <v>0</v>
      </c>
      <c r="BR31">
        <v>0</v>
      </c>
      <c r="BS31">
        <v>0</v>
      </c>
      <c r="BT31">
        <f>' 8-гр. ЛС 1 (2)'!G85*SmtRes!Y31</f>
        <v>62348</v>
      </c>
      <c r="BU31">
        <v>95.92</v>
      </c>
      <c r="BV31">
        <v>0</v>
      </c>
      <c r="BW31">
        <v>1</v>
      </c>
      <c r="CX31">
        <f>Y31*Source!I29</f>
        <v>24.9392</v>
      </c>
      <c r="CY31">
        <f>AD31</f>
        <v>650</v>
      </c>
      <c r="CZ31">
        <f>AH31</f>
        <v>650</v>
      </c>
      <c r="DA31">
        <f>AL31</f>
        <v>1</v>
      </c>
      <c r="DB31">
        <v>0</v>
      </c>
    </row>
    <row r="32" spans="1:106" x14ac:dyDescent="0.2">
      <c r="A32">
        <f>ROW(Source!A29)</f>
        <v>29</v>
      </c>
      <c r="B32">
        <v>27758530</v>
      </c>
      <c r="C32">
        <v>27758657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24</v>
      </c>
      <c r="J32" t="s">
        <v>3</v>
      </c>
      <c r="K32" t="s">
        <v>229</v>
      </c>
      <c r="L32">
        <v>608254</v>
      </c>
      <c r="N32">
        <v>1013</v>
      </c>
      <c r="O32" t="s">
        <v>230</v>
      </c>
      <c r="P32" t="s">
        <v>230</v>
      </c>
      <c r="Q32">
        <v>1</v>
      </c>
      <c r="W32">
        <v>0</v>
      </c>
      <c r="X32">
        <v>-185737400</v>
      </c>
      <c r="Y32">
        <v>0.34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f>' 8-гр. ЛС 1 (2)'!G86</f>
        <v>0</v>
      </c>
      <c r="AJ32">
        <v>1</v>
      </c>
      <c r="AK32">
        <f>AVERAGE(AH33*Y33,AH34*Y34,AH35*Y35)*Source!I29</f>
        <v>6.4498200000000008</v>
      </c>
      <c r="AL32">
        <v>1</v>
      </c>
      <c r="AN32">
        <v>0</v>
      </c>
      <c r="AO32">
        <v>0</v>
      </c>
      <c r="AP32">
        <v>0</v>
      </c>
      <c r="AQ32">
        <v>1</v>
      </c>
      <c r="AR32">
        <v>0</v>
      </c>
      <c r="AS32" t="s">
        <v>3</v>
      </c>
      <c r="AT32">
        <v>0.34</v>
      </c>
      <c r="AU32" t="s">
        <v>3</v>
      </c>
      <c r="AV32">
        <v>2</v>
      </c>
      <c r="AW32">
        <v>2</v>
      </c>
      <c r="AX32">
        <v>27758670</v>
      </c>
      <c r="AY32">
        <v>1</v>
      </c>
      <c r="AZ32">
        <v>0</v>
      </c>
      <c r="BA32">
        <v>32</v>
      </c>
      <c r="BB32">
        <v>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0.34</v>
      </c>
      <c r="BP32">
        <v>1</v>
      </c>
      <c r="BQ32">
        <v>0</v>
      </c>
      <c r="BR32">
        <v>0</v>
      </c>
      <c r="BS32">
        <v>0</v>
      </c>
      <c r="BT32">
        <f>' 8-гр. ЛС 1 (2)'!G86*SmtRes!Y32</f>
        <v>0</v>
      </c>
      <c r="BU32">
        <v>0</v>
      </c>
      <c r="BV32">
        <v>0.34</v>
      </c>
      <c r="BW32">
        <v>1</v>
      </c>
      <c r="CX32">
        <f>Y32*Source!I29</f>
        <v>8.8400000000000006E-2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ROW(Source!A29)</f>
        <v>29</v>
      </c>
      <c r="B33">
        <v>27758530</v>
      </c>
      <c r="C33">
        <v>27758657</v>
      </c>
      <c r="D33">
        <v>15709273</v>
      </c>
      <c r="E33">
        <v>1</v>
      </c>
      <c r="F33">
        <v>1</v>
      </c>
      <c r="G33">
        <v>1</v>
      </c>
      <c r="H33">
        <v>2</v>
      </c>
      <c r="I33" t="s">
        <v>288</v>
      </c>
      <c r="J33" t="s">
        <v>289</v>
      </c>
      <c r="K33" t="s">
        <v>290</v>
      </c>
      <c r="L33">
        <v>1368</v>
      </c>
      <c r="N33">
        <v>1011</v>
      </c>
      <c r="O33" t="s">
        <v>234</v>
      </c>
      <c r="P33" t="s">
        <v>234</v>
      </c>
      <c r="Q33">
        <v>1</v>
      </c>
      <c r="W33">
        <v>0</v>
      </c>
      <c r="X33">
        <v>390837727</v>
      </c>
      <c r="Y33">
        <v>7.0000000000000007E-2</v>
      </c>
      <c r="AA33">
        <v>0</v>
      </c>
      <c r="AB33">
        <v>843.88</v>
      </c>
      <c r="AC33">
        <v>274.41000000000003</v>
      </c>
      <c r="AD33">
        <v>0</v>
      </c>
      <c r="AE33">
        <v>0</v>
      </c>
      <c r="AF33">
        <v>843.88</v>
      </c>
      <c r="AG33">
        <f>' 8-гр. ЛС 1 (2)'!G88</f>
        <v>843.88</v>
      </c>
      <c r="AH33">
        <f>' 8-гр. ЛС 1 (2)'!G89</f>
        <v>274.41000000000003</v>
      </c>
      <c r="AJ33">
        <v>1</v>
      </c>
      <c r="AK33">
        <f>ROUND(Y33*AG33,4)</f>
        <v>59.071599999999997</v>
      </c>
      <c r="AL33">
        <v>1</v>
      </c>
      <c r="AN33">
        <v>0</v>
      </c>
      <c r="AO33">
        <v>0</v>
      </c>
      <c r="AP33">
        <v>0</v>
      </c>
      <c r="AQ33">
        <v>1</v>
      </c>
      <c r="AR33">
        <v>0</v>
      </c>
      <c r="AS33" t="s">
        <v>3</v>
      </c>
      <c r="AT33">
        <v>7.0000000000000007E-2</v>
      </c>
      <c r="AU33" t="s">
        <v>3</v>
      </c>
      <c r="AV33">
        <v>0</v>
      </c>
      <c r="AW33">
        <v>2</v>
      </c>
      <c r="AX33">
        <v>27758671</v>
      </c>
      <c r="AY33">
        <v>1</v>
      </c>
      <c r="AZ33">
        <v>0</v>
      </c>
      <c r="BA33">
        <v>33</v>
      </c>
      <c r="BB33">
        <v>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59.071600000000004</v>
      </c>
      <c r="BL33">
        <v>19.208700000000004</v>
      </c>
      <c r="BM33">
        <v>0</v>
      </c>
      <c r="BN33">
        <v>0</v>
      </c>
      <c r="BO33">
        <v>0</v>
      </c>
      <c r="BP33">
        <v>1</v>
      </c>
      <c r="BQ33">
        <v>0</v>
      </c>
      <c r="BR33">
        <f>' 8-гр. ЛС 1 (2)'!G88*SmtRes!Y33</f>
        <v>59.071600000000004</v>
      </c>
      <c r="BS33">
        <f>' 8-гр. ЛС 1 (2)'!G89*SmtRes!Y33</f>
        <v>19.208700000000004</v>
      </c>
      <c r="BT33">
        <v>0</v>
      </c>
      <c r="BU33">
        <v>0</v>
      </c>
      <c r="BV33">
        <v>0</v>
      </c>
      <c r="BW33">
        <v>1</v>
      </c>
      <c r="CX33">
        <f>Y33*Source!I29</f>
        <v>1.8200000000000001E-2</v>
      </c>
      <c r="CY33">
        <f>AB33</f>
        <v>843.88</v>
      </c>
      <c r="CZ33">
        <f>AF33</f>
        <v>843.88</v>
      </c>
      <c r="DA33">
        <f>AJ33</f>
        <v>1</v>
      </c>
      <c r="DB33">
        <v>0</v>
      </c>
    </row>
    <row r="34" spans="1:106" x14ac:dyDescent="0.2">
      <c r="A34">
        <f>ROW(Source!A29)</f>
        <v>29</v>
      </c>
      <c r="B34">
        <v>27758530</v>
      </c>
      <c r="C34">
        <v>27758657</v>
      </c>
      <c r="D34">
        <v>15709345</v>
      </c>
      <c r="E34">
        <v>1</v>
      </c>
      <c r="F34">
        <v>1</v>
      </c>
      <c r="G34">
        <v>1</v>
      </c>
      <c r="H34">
        <v>2</v>
      </c>
      <c r="I34" t="s">
        <v>291</v>
      </c>
      <c r="J34" t="s">
        <v>292</v>
      </c>
      <c r="K34" t="s">
        <v>293</v>
      </c>
      <c r="L34">
        <v>1368</v>
      </c>
      <c r="N34">
        <v>1011</v>
      </c>
      <c r="O34" t="s">
        <v>234</v>
      </c>
      <c r="P34" t="s">
        <v>234</v>
      </c>
      <c r="Q34">
        <v>1</v>
      </c>
      <c r="W34">
        <v>0</v>
      </c>
      <c r="X34">
        <v>-170261183</v>
      </c>
      <c r="Y34">
        <v>0.27</v>
      </c>
      <c r="AA34">
        <v>0</v>
      </c>
      <c r="AB34">
        <v>696.16</v>
      </c>
      <c r="AC34">
        <v>204.49</v>
      </c>
      <c r="AD34">
        <v>0</v>
      </c>
      <c r="AE34">
        <v>0</v>
      </c>
      <c r="AF34">
        <v>696.16</v>
      </c>
      <c r="AG34">
        <f>' 8-гр. ЛС 1 (2)'!G90</f>
        <v>696.16</v>
      </c>
      <c r="AH34">
        <f>' 8-гр. ЛС 1 (2)'!G91</f>
        <v>204.49</v>
      </c>
      <c r="AJ34">
        <v>1</v>
      </c>
      <c r="AK34">
        <f>ROUND(Y34*AG34,4)</f>
        <v>187.9632</v>
      </c>
      <c r="AL34">
        <v>1</v>
      </c>
      <c r="AN34">
        <v>0</v>
      </c>
      <c r="AO34">
        <v>0</v>
      </c>
      <c r="AP34">
        <v>0</v>
      </c>
      <c r="AQ34">
        <v>1</v>
      </c>
      <c r="AR34">
        <v>0</v>
      </c>
      <c r="AS34" t="s">
        <v>3</v>
      </c>
      <c r="AT34">
        <v>0.27</v>
      </c>
      <c r="AU34" t="s">
        <v>3</v>
      </c>
      <c r="AV34">
        <v>0</v>
      </c>
      <c r="AW34">
        <v>2</v>
      </c>
      <c r="AX34">
        <v>27758672</v>
      </c>
      <c r="AY34">
        <v>1</v>
      </c>
      <c r="AZ34">
        <v>0</v>
      </c>
      <c r="BA34">
        <v>34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187.9632</v>
      </c>
      <c r="BL34">
        <v>55.212300000000006</v>
      </c>
      <c r="BM34">
        <v>0</v>
      </c>
      <c r="BN34">
        <v>0</v>
      </c>
      <c r="BO34">
        <v>0</v>
      </c>
      <c r="BP34">
        <v>1</v>
      </c>
      <c r="BQ34">
        <v>0</v>
      </c>
      <c r="BR34">
        <f>' 8-гр. ЛС 1 (2)'!G90*SmtRes!Y34</f>
        <v>187.9632</v>
      </c>
      <c r="BS34">
        <f>' 8-гр. ЛС 1 (2)'!G91*SmtRes!Y34</f>
        <v>55.212300000000006</v>
      </c>
      <c r="BT34">
        <v>0</v>
      </c>
      <c r="BU34">
        <v>0</v>
      </c>
      <c r="BV34">
        <v>0</v>
      </c>
      <c r="BW34">
        <v>1</v>
      </c>
      <c r="CX34">
        <f>Y34*Source!I29</f>
        <v>7.0200000000000012E-2</v>
      </c>
      <c r="CY34">
        <f>AB34</f>
        <v>696.16</v>
      </c>
      <c r="CZ34">
        <f>AF34</f>
        <v>696.16</v>
      </c>
      <c r="DA34">
        <f>AJ34</f>
        <v>1</v>
      </c>
      <c r="DB34">
        <v>0</v>
      </c>
    </row>
    <row r="35" spans="1:106" x14ac:dyDescent="0.2">
      <c r="A35">
        <f>ROW(Source!A29)</f>
        <v>29</v>
      </c>
      <c r="B35">
        <v>27758530</v>
      </c>
      <c r="C35">
        <v>27758657</v>
      </c>
      <c r="D35">
        <v>15711260</v>
      </c>
      <c r="E35">
        <v>1</v>
      </c>
      <c r="F35">
        <v>1</v>
      </c>
      <c r="G35">
        <v>1</v>
      </c>
      <c r="H35">
        <v>2</v>
      </c>
      <c r="I35" t="s">
        <v>271</v>
      </c>
      <c r="J35" t="s">
        <v>272</v>
      </c>
      <c r="K35" t="s">
        <v>273</v>
      </c>
      <c r="L35">
        <v>1368</v>
      </c>
      <c r="N35">
        <v>1011</v>
      </c>
      <c r="O35" t="s">
        <v>234</v>
      </c>
      <c r="P35" t="s">
        <v>234</v>
      </c>
      <c r="Q35">
        <v>1</v>
      </c>
      <c r="W35">
        <v>0</v>
      </c>
      <c r="X35">
        <v>-706219601</v>
      </c>
      <c r="Y35">
        <v>0.1</v>
      </c>
      <c r="AA35">
        <v>0</v>
      </c>
      <c r="AB35">
        <v>822.45</v>
      </c>
      <c r="AC35">
        <v>0</v>
      </c>
      <c r="AD35">
        <v>0</v>
      </c>
      <c r="AE35">
        <v>0</v>
      </c>
      <c r="AF35">
        <v>822.45</v>
      </c>
      <c r="AG35">
        <f>' 8-гр. ЛС 1 (2)'!G92</f>
        <v>822.45</v>
      </c>
      <c r="AH35">
        <f>ROUND(AC35,2)</f>
        <v>0</v>
      </c>
      <c r="AJ35">
        <v>1</v>
      </c>
      <c r="AK35">
        <f>ROUND(Y35*AG35,4)</f>
        <v>82.245000000000005</v>
      </c>
      <c r="AL35">
        <v>1</v>
      </c>
      <c r="AN35">
        <v>0</v>
      </c>
      <c r="AO35">
        <v>0</v>
      </c>
      <c r="AP35">
        <v>0</v>
      </c>
      <c r="AQ35">
        <v>1</v>
      </c>
      <c r="AR35">
        <v>0</v>
      </c>
      <c r="AS35" t="s">
        <v>3</v>
      </c>
      <c r="AT35">
        <v>0.1</v>
      </c>
      <c r="AU35" t="s">
        <v>3</v>
      </c>
      <c r="AV35">
        <v>0</v>
      </c>
      <c r="AW35">
        <v>2</v>
      </c>
      <c r="AX35">
        <v>27758673</v>
      </c>
      <c r="AY35">
        <v>1</v>
      </c>
      <c r="AZ35">
        <v>0</v>
      </c>
      <c r="BA35">
        <v>35</v>
      </c>
      <c r="BB35">
        <v>1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82.245000000000005</v>
      </c>
      <c r="BL35">
        <v>0</v>
      </c>
      <c r="BM35">
        <v>0</v>
      </c>
      <c r="BN35">
        <v>0</v>
      </c>
      <c r="BO35">
        <v>0</v>
      </c>
      <c r="BP35">
        <v>1</v>
      </c>
      <c r="BQ35">
        <v>0</v>
      </c>
      <c r="BR35">
        <f>' 8-гр. ЛС 1 (2)'!G92*SmtRes!Y35</f>
        <v>82.245000000000005</v>
      </c>
      <c r="BS35">
        <v>0</v>
      </c>
      <c r="BT35">
        <v>0</v>
      </c>
      <c r="BU35">
        <v>0</v>
      </c>
      <c r="BV35">
        <v>0</v>
      </c>
      <c r="BW35">
        <v>1</v>
      </c>
      <c r="CX35">
        <f>Y35*Source!I29</f>
        <v>2.6000000000000002E-2</v>
      </c>
      <c r="CY35">
        <f>AB35</f>
        <v>822.45</v>
      </c>
      <c r="CZ35">
        <f>AF35</f>
        <v>822.45</v>
      </c>
      <c r="DA35">
        <f>AJ35</f>
        <v>1</v>
      </c>
      <c r="DB35">
        <v>0</v>
      </c>
    </row>
    <row r="36" spans="1:106" x14ac:dyDescent="0.2">
      <c r="A36">
        <f>ROW(Source!A29)</f>
        <v>29</v>
      </c>
      <c r="B36">
        <v>27758530</v>
      </c>
      <c r="C36">
        <v>27758657</v>
      </c>
      <c r="D36">
        <v>15736847</v>
      </c>
      <c r="E36">
        <v>1</v>
      </c>
      <c r="F36">
        <v>1</v>
      </c>
      <c r="G36">
        <v>1</v>
      </c>
      <c r="H36">
        <v>3</v>
      </c>
      <c r="I36" t="s">
        <v>59</v>
      </c>
      <c r="J36" t="s">
        <v>62</v>
      </c>
      <c r="K36" t="s">
        <v>253</v>
      </c>
      <c r="L36">
        <v>1348</v>
      </c>
      <c r="N36">
        <v>1009</v>
      </c>
      <c r="O36" t="s">
        <v>61</v>
      </c>
      <c r="P36" t="s">
        <v>61</v>
      </c>
      <c r="Q36">
        <v>1000</v>
      </c>
      <c r="W36">
        <v>0</v>
      </c>
      <c r="X36">
        <v>-1803532932</v>
      </c>
      <c r="Y36">
        <v>1.47E-2</v>
      </c>
      <c r="AA36">
        <v>67818.78</v>
      </c>
      <c r="AB36">
        <v>0</v>
      </c>
      <c r="AC36">
        <v>0</v>
      </c>
      <c r="AD36">
        <v>0</v>
      </c>
      <c r="AE36">
        <v>67818.78</v>
      </c>
      <c r="AF36">
        <f>' 8-гр. ЛС 1 (2)'!G94</f>
        <v>67818.78</v>
      </c>
      <c r="AG36">
        <v>0</v>
      </c>
      <c r="AH36">
        <v>0</v>
      </c>
      <c r="AJ36">
        <v>1</v>
      </c>
      <c r="AK36">
        <f t="shared" ref="AK36:AK41" si="4">ROUND(Y36*AF36,4)</f>
        <v>996.93610000000001</v>
      </c>
      <c r="AL36">
        <v>1</v>
      </c>
      <c r="AN36">
        <v>0</v>
      </c>
      <c r="AO36">
        <v>0</v>
      </c>
      <c r="AP36">
        <v>0</v>
      </c>
      <c r="AQ36">
        <v>1</v>
      </c>
      <c r="AR36">
        <v>0</v>
      </c>
      <c r="AS36" t="s">
        <v>3</v>
      </c>
      <c r="AT36">
        <v>1.47E-2</v>
      </c>
      <c r="AU36" t="s">
        <v>3</v>
      </c>
      <c r="AV36">
        <v>0</v>
      </c>
      <c r="AW36">
        <v>2</v>
      </c>
      <c r="AX36">
        <v>27758674</v>
      </c>
      <c r="AY36">
        <v>1</v>
      </c>
      <c r="AZ36">
        <v>0</v>
      </c>
      <c r="BA36">
        <v>36</v>
      </c>
      <c r="BB36">
        <v>1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996.93606599999998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1</v>
      </c>
      <c r="BQ36">
        <f>' 8-гр. ЛС 1 (2)'!G94*SmtRes!Y36</f>
        <v>996.93606599999998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1</v>
      </c>
      <c r="CX36">
        <f>Y36*Source!I29</f>
        <v>3.8219999999999999E-3</v>
      </c>
      <c r="CY36">
        <f t="shared" ref="CY36:CY41" si="5">AA36</f>
        <v>67818.78</v>
      </c>
      <c r="CZ36">
        <f t="shared" ref="CZ36:CZ41" si="6">AE36</f>
        <v>67818.78</v>
      </c>
      <c r="DA36">
        <f t="shared" ref="DA36:DA41" si="7">AI36</f>
        <v>0</v>
      </c>
      <c r="DB36">
        <v>0</v>
      </c>
    </row>
    <row r="37" spans="1:106" x14ac:dyDescent="0.2">
      <c r="A37">
        <f>ROW(Source!A29)</f>
        <v>29</v>
      </c>
      <c r="B37">
        <v>27758530</v>
      </c>
      <c r="C37">
        <v>27758657</v>
      </c>
      <c r="D37">
        <v>15738108</v>
      </c>
      <c r="E37">
        <v>1</v>
      </c>
      <c r="F37">
        <v>1</v>
      </c>
      <c r="G37">
        <v>1</v>
      </c>
      <c r="H37">
        <v>3</v>
      </c>
      <c r="I37" t="s">
        <v>55</v>
      </c>
      <c r="J37" t="s">
        <v>57</v>
      </c>
      <c r="K37" t="s">
        <v>294</v>
      </c>
      <c r="L37">
        <v>1339</v>
      </c>
      <c r="N37">
        <v>1007</v>
      </c>
      <c r="O37" t="s">
        <v>34</v>
      </c>
      <c r="P37" t="s">
        <v>34</v>
      </c>
      <c r="Q37">
        <v>1</v>
      </c>
      <c r="W37">
        <v>0</v>
      </c>
      <c r="X37">
        <v>376521665</v>
      </c>
      <c r="Y37">
        <v>0.32</v>
      </c>
      <c r="AA37">
        <v>4076.6</v>
      </c>
      <c r="AB37">
        <v>0</v>
      </c>
      <c r="AC37">
        <v>0</v>
      </c>
      <c r="AD37">
        <v>0</v>
      </c>
      <c r="AE37">
        <v>4076.6</v>
      </c>
      <c r="AF37">
        <f>' 8-гр. ЛС 1 (2)'!G95</f>
        <v>4076.6</v>
      </c>
      <c r="AG37">
        <v>0</v>
      </c>
      <c r="AH37">
        <v>0</v>
      </c>
      <c r="AJ37">
        <v>1</v>
      </c>
      <c r="AK37">
        <f t="shared" si="4"/>
        <v>1304.5119999999999</v>
      </c>
      <c r="AL37">
        <v>1</v>
      </c>
      <c r="AN37">
        <v>0</v>
      </c>
      <c r="AO37">
        <v>0</v>
      </c>
      <c r="AP37">
        <v>0</v>
      </c>
      <c r="AQ37">
        <v>1</v>
      </c>
      <c r="AR37">
        <v>0</v>
      </c>
      <c r="AS37" t="s">
        <v>3</v>
      </c>
      <c r="AT37">
        <v>0.32</v>
      </c>
      <c r="AU37" t="s">
        <v>3</v>
      </c>
      <c r="AV37">
        <v>0</v>
      </c>
      <c r="AW37">
        <v>2</v>
      </c>
      <c r="AX37">
        <v>27758675</v>
      </c>
      <c r="AY37">
        <v>1</v>
      </c>
      <c r="AZ37">
        <v>0</v>
      </c>
      <c r="BA37">
        <v>37</v>
      </c>
      <c r="BB37">
        <v>1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1304.5119999999999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1</v>
      </c>
      <c r="BQ37">
        <f>' 8-гр. ЛС 1 (2)'!G95*SmtRes!Y37</f>
        <v>1304.5119999999999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1</v>
      </c>
      <c r="CX37">
        <f>Y37*Source!I29</f>
        <v>8.320000000000001E-2</v>
      </c>
      <c r="CY37">
        <f t="shared" si="5"/>
        <v>4076.6</v>
      </c>
      <c r="CZ37">
        <f t="shared" si="6"/>
        <v>4076.6</v>
      </c>
      <c r="DA37">
        <f t="shared" si="7"/>
        <v>0</v>
      </c>
      <c r="DB37">
        <v>0</v>
      </c>
    </row>
    <row r="38" spans="1:106" x14ac:dyDescent="0.2">
      <c r="A38">
        <f>ROW(Source!A29)</f>
        <v>29</v>
      </c>
      <c r="B38">
        <v>27758530</v>
      </c>
      <c r="C38">
        <v>27758657</v>
      </c>
      <c r="D38">
        <v>15738116</v>
      </c>
      <c r="E38">
        <v>1</v>
      </c>
      <c r="F38">
        <v>1</v>
      </c>
      <c r="G38">
        <v>1</v>
      </c>
      <c r="H38">
        <v>3</v>
      </c>
      <c r="I38" t="s">
        <v>295</v>
      </c>
      <c r="J38" t="s">
        <v>296</v>
      </c>
      <c r="K38" t="s">
        <v>297</v>
      </c>
      <c r="L38">
        <v>1339</v>
      </c>
      <c r="N38">
        <v>1007</v>
      </c>
      <c r="O38" t="s">
        <v>34</v>
      </c>
      <c r="P38" t="s">
        <v>34</v>
      </c>
      <c r="Q38">
        <v>1</v>
      </c>
      <c r="W38">
        <v>0</v>
      </c>
      <c r="X38">
        <v>1405910460</v>
      </c>
      <c r="Y38">
        <v>0.42</v>
      </c>
      <c r="AA38">
        <v>3983.95</v>
      </c>
      <c r="AB38">
        <v>0</v>
      </c>
      <c r="AC38">
        <v>0</v>
      </c>
      <c r="AD38">
        <v>0</v>
      </c>
      <c r="AE38">
        <v>3983.95</v>
      </c>
      <c r="AF38">
        <f>' 8-гр. ЛС 1 (2)'!G96</f>
        <v>3983.95</v>
      </c>
      <c r="AG38">
        <v>0</v>
      </c>
      <c r="AH38">
        <v>0</v>
      </c>
      <c r="AJ38">
        <v>1</v>
      </c>
      <c r="AK38">
        <f t="shared" si="4"/>
        <v>1673.259</v>
      </c>
      <c r="AL38">
        <v>1</v>
      </c>
      <c r="AN38">
        <v>0</v>
      </c>
      <c r="AO38">
        <v>0</v>
      </c>
      <c r="AP38">
        <v>0</v>
      </c>
      <c r="AQ38">
        <v>1</v>
      </c>
      <c r="AR38">
        <v>0</v>
      </c>
      <c r="AS38" t="s">
        <v>3</v>
      </c>
      <c r="AT38">
        <v>0.42</v>
      </c>
      <c r="AU38" t="s">
        <v>3</v>
      </c>
      <c r="AV38">
        <v>0</v>
      </c>
      <c r="AW38">
        <v>2</v>
      </c>
      <c r="AX38">
        <v>27758676</v>
      </c>
      <c r="AY38">
        <v>1</v>
      </c>
      <c r="AZ38">
        <v>0</v>
      </c>
      <c r="BA38">
        <v>38</v>
      </c>
      <c r="BB38">
        <v>1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1673.2589999999998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1</v>
      </c>
      <c r="BQ38">
        <f>' 8-гр. ЛС 1 (2)'!G96*SmtRes!Y38</f>
        <v>1673.2589999999998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1</v>
      </c>
      <c r="CX38">
        <f>Y38*Source!I29</f>
        <v>0.10920000000000001</v>
      </c>
      <c r="CY38">
        <f t="shared" si="5"/>
        <v>3983.95</v>
      </c>
      <c r="CZ38">
        <f t="shared" si="6"/>
        <v>3983.95</v>
      </c>
      <c r="DA38">
        <f t="shared" si="7"/>
        <v>0</v>
      </c>
      <c r="DB38">
        <v>0</v>
      </c>
    </row>
    <row r="39" spans="1:106" x14ac:dyDescent="0.2">
      <c r="A39">
        <f>ROW(Source!A29)</f>
        <v>29</v>
      </c>
      <c r="B39">
        <v>27758530</v>
      </c>
      <c r="C39">
        <v>27758657</v>
      </c>
      <c r="D39">
        <v>15727094</v>
      </c>
      <c r="E39">
        <v>1</v>
      </c>
      <c r="F39">
        <v>1</v>
      </c>
      <c r="G39">
        <v>1</v>
      </c>
      <c r="H39">
        <v>3</v>
      </c>
      <c r="I39" t="s">
        <v>298</v>
      </c>
      <c r="J39" t="s">
        <v>299</v>
      </c>
      <c r="K39" t="s">
        <v>300</v>
      </c>
      <c r="L39">
        <v>1327</v>
      </c>
      <c r="N39">
        <v>1005</v>
      </c>
      <c r="O39" t="s">
        <v>73</v>
      </c>
      <c r="P39" t="s">
        <v>73</v>
      </c>
      <c r="Q39">
        <v>1</v>
      </c>
      <c r="W39">
        <v>0</v>
      </c>
      <c r="X39">
        <v>433739046</v>
      </c>
      <c r="Y39">
        <v>5.44</v>
      </c>
      <c r="AA39">
        <v>350.39</v>
      </c>
      <c r="AB39">
        <v>0</v>
      </c>
      <c r="AC39">
        <v>0</v>
      </c>
      <c r="AD39">
        <v>0</v>
      </c>
      <c r="AE39">
        <v>350.39</v>
      </c>
      <c r="AF39">
        <f>' 8-гр. ЛС 1 (2)'!G97</f>
        <v>350.39</v>
      </c>
      <c r="AG39">
        <v>0</v>
      </c>
      <c r="AH39">
        <v>0</v>
      </c>
      <c r="AJ39">
        <v>1</v>
      </c>
      <c r="AK39">
        <f t="shared" si="4"/>
        <v>1906.1215999999999</v>
      </c>
      <c r="AL39">
        <v>1</v>
      </c>
      <c r="AN39">
        <v>0</v>
      </c>
      <c r="AO39">
        <v>0</v>
      </c>
      <c r="AP39">
        <v>0</v>
      </c>
      <c r="AQ39">
        <v>1</v>
      </c>
      <c r="AR39">
        <v>0</v>
      </c>
      <c r="AS39" t="s">
        <v>3</v>
      </c>
      <c r="AT39">
        <v>5.44</v>
      </c>
      <c r="AU39" t="s">
        <v>3</v>
      </c>
      <c r="AV39">
        <v>0</v>
      </c>
      <c r="AW39">
        <v>2</v>
      </c>
      <c r="AX39">
        <v>27758677</v>
      </c>
      <c r="AY39">
        <v>1</v>
      </c>
      <c r="AZ39">
        <v>0</v>
      </c>
      <c r="BA39">
        <v>39</v>
      </c>
      <c r="BB39">
        <v>1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1906.1216000000002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1</v>
      </c>
      <c r="BQ39">
        <f>' 8-гр. ЛС 1 (2)'!G97*SmtRes!Y39</f>
        <v>1906.1216000000002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1</v>
      </c>
      <c r="CX39">
        <f>Y39*Source!I29</f>
        <v>1.4144000000000001</v>
      </c>
      <c r="CY39">
        <f t="shared" si="5"/>
        <v>350.39</v>
      </c>
      <c r="CZ39">
        <f t="shared" si="6"/>
        <v>350.39</v>
      </c>
      <c r="DA39">
        <f t="shared" si="7"/>
        <v>0</v>
      </c>
      <c r="DB39">
        <v>0</v>
      </c>
    </row>
    <row r="40" spans="1:106" x14ac:dyDescent="0.2">
      <c r="A40">
        <f>ROW(Source!A29)</f>
        <v>29</v>
      </c>
      <c r="B40">
        <v>27758530</v>
      </c>
      <c r="C40">
        <v>27758657</v>
      </c>
      <c r="D40">
        <v>15721058</v>
      </c>
      <c r="E40">
        <v>1</v>
      </c>
      <c r="F40">
        <v>1</v>
      </c>
      <c r="G40">
        <v>1</v>
      </c>
      <c r="H40">
        <v>3</v>
      </c>
      <c r="I40" t="s">
        <v>301</v>
      </c>
      <c r="J40" t="s">
        <v>302</v>
      </c>
      <c r="K40" t="s">
        <v>303</v>
      </c>
      <c r="L40">
        <v>1348</v>
      </c>
      <c r="N40">
        <v>1009</v>
      </c>
      <c r="O40" t="s">
        <v>61</v>
      </c>
      <c r="P40" t="s">
        <v>61</v>
      </c>
      <c r="Q40">
        <v>1000</v>
      </c>
      <c r="W40">
        <v>0</v>
      </c>
      <c r="X40">
        <v>171834764</v>
      </c>
      <c r="Y40">
        <v>2.1000000000000001E-2</v>
      </c>
      <c r="AA40">
        <v>3242.75</v>
      </c>
      <c r="AB40">
        <v>0</v>
      </c>
      <c r="AC40">
        <v>0</v>
      </c>
      <c r="AD40">
        <v>0</v>
      </c>
      <c r="AE40">
        <v>3242.75</v>
      </c>
      <c r="AF40">
        <f>' 8-гр. ЛС 1 (2)'!G98</f>
        <v>3242.75</v>
      </c>
      <c r="AG40">
        <v>0</v>
      </c>
      <c r="AH40">
        <v>0</v>
      </c>
      <c r="AJ40">
        <v>1</v>
      </c>
      <c r="AK40">
        <f t="shared" si="4"/>
        <v>68.097800000000007</v>
      </c>
      <c r="AL40">
        <v>1</v>
      </c>
      <c r="AN40">
        <v>0</v>
      </c>
      <c r="AO40">
        <v>0</v>
      </c>
      <c r="AP40">
        <v>0</v>
      </c>
      <c r="AQ40">
        <v>1</v>
      </c>
      <c r="AR40">
        <v>0</v>
      </c>
      <c r="AS40" t="s">
        <v>3</v>
      </c>
      <c r="AT40">
        <v>2.1000000000000001E-2</v>
      </c>
      <c r="AU40" t="s">
        <v>3</v>
      </c>
      <c r="AV40">
        <v>0</v>
      </c>
      <c r="AW40">
        <v>2</v>
      </c>
      <c r="AX40">
        <v>27758678</v>
      </c>
      <c r="AY40">
        <v>1</v>
      </c>
      <c r="AZ40">
        <v>0</v>
      </c>
      <c r="BA40">
        <v>40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68.097750000000005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1</v>
      </c>
      <c r="BQ40">
        <f>' 8-гр. ЛС 1 (2)'!G98*SmtRes!Y40</f>
        <v>68.097750000000005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1</v>
      </c>
      <c r="CX40">
        <f>Y40*Source!I29</f>
        <v>5.4600000000000004E-3</v>
      </c>
      <c r="CY40">
        <f t="shared" si="5"/>
        <v>3242.75</v>
      </c>
      <c r="CZ40">
        <f t="shared" si="6"/>
        <v>3242.75</v>
      </c>
      <c r="DA40">
        <f t="shared" si="7"/>
        <v>0</v>
      </c>
      <c r="DB40">
        <v>0</v>
      </c>
    </row>
    <row r="41" spans="1:106" x14ac:dyDescent="0.2">
      <c r="A41">
        <f>ROW(Source!A29)</f>
        <v>29</v>
      </c>
      <c r="B41">
        <v>27758530</v>
      </c>
      <c r="C41">
        <v>27758657</v>
      </c>
      <c r="D41">
        <v>15721795</v>
      </c>
      <c r="E41">
        <v>1</v>
      </c>
      <c r="F41">
        <v>1</v>
      </c>
      <c r="G41">
        <v>1</v>
      </c>
      <c r="H41">
        <v>3</v>
      </c>
      <c r="I41" t="s">
        <v>280</v>
      </c>
      <c r="J41" t="s">
        <v>281</v>
      </c>
      <c r="K41" t="s">
        <v>282</v>
      </c>
      <c r="L41">
        <v>1339</v>
      </c>
      <c r="N41">
        <v>1007</v>
      </c>
      <c r="O41" t="s">
        <v>34</v>
      </c>
      <c r="P41" t="s">
        <v>34</v>
      </c>
      <c r="Q41">
        <v>1</v>
      </c>
      <c r="W41">
        <v>0</v>
      </c>
      <c r="X41">
        <v>-586330449</v>
      </c>
      <c r="Y41">
        <v>6.0999999999999999E-2</v>
      </c>
      <c r="AA41">
        <v>18.29</v>
      </c>
      <c r="AB41">
        <v>0</v>
      </c>
      <c r="AC41">
        <v>0</v>
      </c>
      <c r="AD41">
        <v>0</v>
      </c>
      <c r="AE41">
        <v>18.29</v>
      </c>
      <c r="AF41">
        <f>' 8-гр. ЛС 1 (2)'!G99</f>
        <v>18.29</v>
      </c>
      <c r="AG41">
        <v>0</v>
      </c>
      <c r="AH41">
        <v>0</v>
      </c>
      <c r="AJ41">
        <v>1</v>
      </c>
      <c r="AK41">
        <f t="shared" si="4"/>
        <v>1.1156999999999999</v>
      </c>
      <c r="AL41">
        <v>1</v>
      </c>
      <c r="AN41">
        <v>0</v>
      </c>
      <c r="AO41">
        <v>0</v>
      </c>
      <c r="AP41">
        <v>0</v>
      </c>
      <c r="AQ41">
        <v>1</v>
      </c>
      <c r="AR41">
        <v>0</v>
      </c>
      <c r="AS41" t="s">
        <v>3</v>
      </c>
      <c r="AT41">
        <v>6.0999999999999999E-2</v>
      </c>
      <c r="AU41" t="s">
        <v>3</v>
      </c>
      <c r="AV41">
        <v>0</v>
      </c>
      <c r="AW41">
        <v>2</v>
      </c>
      <c r="AX41">
        <v>27758679</v>
      </c>
      <c r="AY41">
        <v>1</v>
      </c>
      <c r="AZ41">
        <v>0</v>
      </c>
      <c r="BA41">
        <v>41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1.1156899999999998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1</v>
      </c>
      <c r="BQ41">
        <f>' 8-гр. ЛС 1 (2)'!G99*SmtRes!Y41</f>
        <v>1.1156899999999998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1</v>
      </c>
      <c r="CX41">
        <f>Y41*Source!I29</f>
        <v>1.5859999999999999E-2</v>
      </c>
      <c r="CY41">
        <f t="shared" si="5"/>
        <v>18.29</v>
      </c>
      <c r="CZ41">
        <f t="shared" si="6"/>
        <v>18.29</v>
      </c>
      <c r="DA41">
        <f t="shared" si="7"/>
        <v>0</v>
      </c>
      <c r="DB41">
        <v>0</v>
      </c>
    </row>
    <row r="42" spans="1:106" x14ac:dyDescent="0.2">
      <c r="A42">
        <f>ROW(Source!A32)</f>
        <v>32</v>
      </c>
      <c r="B42">
        <v>27758530</v>
      </c>
      <c r="C42">
        <v>27758682</v>
      </c>
      <c r="D42">
        <v>9255446</v>
      </c>
      <c r="E42">
        <v>1</v>
      </c>
      <c r="F42">
        <v>1</v>
      </c>
      <c r="G42">
        <v>1</v>
      </c>
      <c r="H42">
        <v>1</v>
      </c>
      <c r="I42" t="s">
        <v>226</v>
      </c>
      <c r="J42" t="s">
        <v>3</v>
      </c>
      <c r="K42" t="s">
        <v>227</v>
      </c>
      <c r="L42">
        <v>1369</v>
      </c>
      <c r="N42">
        <v>1013</v>
      </c>
      <c r="O42" t="s">
        <v>228</v>
      </c>
      <c r="P42" t="s">
        <v>228</v>
      </c>
      <c r="Q42">
        <v>1</v>
      </c>
      <c r="W42">
        <v>0</v>
      </c>
      <c r="X42">
        <v>911555194</v>
      </c>
      <c r="Y42">
        <v>10.5</v>
      </c>
      <c r="AA42">
        <v>0</v>
      </c>
      <c r="AB42">
        <v>0</v>
      </c>
      <c r="AC42">
        <v>0</v>
      </c>
      <c r="AD42">
        <v>95</v>
      </c>
      <c r="AE42">
        <v>0</v>
      </c>
      <c r="AF42">
        <v>0</v>
      </c>
      <c r="AG42">
        <v>0</v>
      </c>
      <c r="AH42">
        <v>95</v>
      </c>
      <c r="AI42">
        <f>' 8-гр. ЛС 1 (2)'!G107</f>
        <v>95</v>
      </c>
      <c r="AJ42">
        <v>1</v>
      </c>
      <c r="AK42">
        <f>ROUND(Y42*AI42,4)</f>
        <v>997.5</v>
      </c>
      <c r="AL42">
        <v>1</v>
      </c>
      <c r="AN42">
        <v>0</v>
      </c>
      <c r="AO42">
        <v>0</v>
      </c>
      <c r="AP42">
        <v>0</v>
      </c>
      <c r="AQ42">
        <v>1</v>
      </c>
      <c r="AR42">
        <v>0</v>
      </c>
      <c r="AS42" t="s">
        <v>3</v>
      </c>
      <c r="AT42">
        <v>10.5</v>
      </c>
      <c r="AU42" t="s">
        <v>3</v>
      </c>
      <c r="AV42">
        <v>1</v>
      </c>
      <c r="AW42">
        <v>2</v>
      </c>
      <c r="AX42">
        <v>27758692</v>
      </c>
      <c r="AY42">
        <v>2</v>
      </c>
      <c r="AZ42">
        <v>131072</v>
      </c>
      <c r="BA42">
        <v>42</v>
      </c>
      <c r="BB42">
        <v>1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997.5</v>
      </c>
      <c r="BN42">
        <v>10.5</v>
      </c>
      <c r="BO42">
        <v>0</v>
      </c>
      <c r="BP42">
        <v>1</v>
      </c>
      <c r="BQ42">
        <v>0</v>
      </c>
      <c r="BR42">
        <v>0</v>
      </c>
      <c r="BS42">
        <v>0</v>
      </c>
      <c r="BT42">
        <f>' 8-гр. ЛС 1 (2)'!G107*SmtRes!Y42</f>
        <v>997.5</v>
      </c>
      <c r="BU42">
        <v>10.5</v>
      </c>
      <c r="BV42">
        <v>0</v>
      </c>
      <c r="BW42">
        <v>1</v>
      </c>
      <c r="CX42">
        <f>Y42*Source!I32</f>
        <v>27.3</v>
      </c>
      <c r="CY42">
        <f>AD42</f>
        <v>95</v>
      </c>
      <c r="CZ42">
        <f>AH42</f>
        <v>95</v>
      </c>
      <c r="DA42">
        <f>AL42</f>
        <v>1</v>
      </c>
      <c r="DB42">
        <v>0</v>
      </c>
    </row>
    <row r="43" spans="1:106" x14ac:dyDescent="0.2">
      <c r="A43">
        <f>ROW(Source!A32)</f>
        <v>32</v>
      </c>
      <c r="B43">
        <v>27758530</v>
      </c>
      <c r="C43">
        <v>27758682</v>
      </c>
      <c r="D43">
        <v>121548</v>
      </c>
      <c r="E43">
        <v>1</v>
      </c>
      <c r="F43">
        <v>1</v>
      </c>
      <c r="G43">
        <v>1</v>
      </c>
      <c r="H43">
        <v>1</v>
      </c>
      <c r="I43" t="s">
        <v>24</v>
      </c>
      <c r="J43" t="s">
        <v>3</v>
      </c>
      <c r="K43" t="s">
        <v>229</v>
      </c>
      <c r="L43">
        <v>608254</v>
      </c>
      <c r="N43">
        <v>1013</v>
      </c>
      <c r="O43" t="s">
        <v>230</v>
      </c>
      <c r="P43" t="s">
        <v>230</v>
      </c>
      <c r="Q43">
        <v>1</v>
      </c>
      <c r="W43">
        <v>0</v>
      </c>
      <c r="X43">
        <v>-185737400</v>
      </c>
      <c r="Y43">
        <v>0.06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f>' 8-гр. ЛС 1 (2)'!G108</f>
        <v>0</v>
      </c>
      <c r="AJ43">
        <v>1</v>
      </c>
      <c r="AK43">
        <f>AVERAGE(AH44*Y44,AH45*Y45,AH46*Y46,AH47*Y47)*Source!I32</f>
        <v>8.5870200000000008</v>
      </c>
      <c r="AL43">
        <v>1</v>
      </c>
      <c r="AN43">
        <v>0</v>
      </c>
      <c r="AO43">
        <v>0</v>
      </c>
      <c r="AP43">
        <v>0</v>
      </c>
      <c r="AQ43">
        <v>1</v>
      </c>
      <c r="AR43">
        <v>0</v>
      </c>
      <c r="AS43" t="s">
        <v>3</v>
      </c>
      <c r="AT43">
        <v>0.06</v>
      </c>
      <c r="AU43" t="s">
        <v>3</v>
      </c>
      <c r="AV43">
        <v>2</v>
      </c>
      <c r="AW43">
        <v>2</v>
      </c>
      <c r="AX43">
        <v>27758693</v>
      </c>
      <c r="AY43">
        <v>1</v>
      </c>
      <c r="AZ43">
        <v>0</v>
      </c>
      <c r="BA43">
        <v>43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0.06</v>
      </c>
      <c r="BP43">
        <v>1</v>
      </c>
      <c r="BQ43">
        <v>0</v>
      </c>
      <c r="BR43">
        <v>0</v>
      </c>
      <c r="BS43">
        <v>0</v>
      </c>
      <c r="BT43">
        <f>' 8-гр. ЛС 1 (2)'!G108*SmtRes!Y43</f>
        <v>0</v>
      </c>
      <c r="BU43">
        <v>0</v>
      </c>
      <c r="BV43">
        <v>0.06</v>
      </c>
      <c r="BW43">
        <v>1</v>
      </c>
      <c r="CX43">
        <f>Y43*Source!I32</f>
        <v>0.156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x14ac:dyDescent="0.2">
      <c r="A44">
        <f>ROW(Source!A32)</f>
        <v>32</v>
      </c>
      <c r="B44">
        <v>27758530</v>
      </c>
      <c r="C44">
        <v>27758682</v>
      </c>
      <c r="D44">
        <v>15709345</v>
      </c>
      <c r="E44">
        <v>1</v>
      </c>
      <c r="F44">
        <v>1</v>
      </c>
      <c r="G44">
        <v>1</v>
      </c>
      <c r="H44">
        <v>2</v>
      </c>
      <c r="I44" t="s">
        <v>291</v>
      </c>
      <c r="J44" t="s">
        <v>292</v>
      </c>
      <c r="K44" t="s">
        <v>293</v>
      </c>
      <c r="L44">
        <v>1368</v>
      </c>
      <c r="N44">
        <v>1011</v>
      </c>
      <c r="O44" t="s">
        <v>234</v>
      </c>
      <c r="P44" t="s">
        <v>234</v>
      </c>
      <c r="Q44">
        <v>1</v>
      </c>
      <c r="W44">
        <v>0</v>
      </c>
      <c r="X44">
        <v>-170261183</v>
      </c>
      <c r="Y44">
        <v>0.03</v>
      </c>
      <c r="AA44">
        <v>0</v>
      </c>
      <c r="AB44">
        <v>696.16</v>
      </c>
      <c r="AC44">
        <v>204.49</v>
      </c>
      <c r="AD44">
        <v>0</v>
      </c>
      <c r="AE44">
        <v>0</v>
      </c>
      <c r="AF44">
        <v>696.16</v>
      </c>
      <c r="AG44">
        <f>' 8-гр. ЛС 1 (2)'!G110</f>
        <v>696.16</v>
      </c>
      <c r="AH44">
        <f>' 8-гр. ЛС 1 (2)'!G111</f>
        <v>204.49</v>
      </c>
      <c r="AJ44">
        <v>1</v>
      </c>
      <c r="AK44">
        <f>ROUND(Y44*AG44,4)</f>
        <v>20.884799999999998</v>
      </c>
      <c r="AL44">
        <v>1</v>
      </c>
      <c r="AN44">
        <v>0</v>
      </c>
      <c r="AO44">
        <v>0</v>
      </c>
      <c r="AP44">
        <v>0</v>
      </c>
      <c r="AQ44">
        <v>1</v>
      </c>
      <c r="AR44">
        <v>0</v>
      </c>
      <c r="AS44" t="s">
        <v>3</v>
      </c>
      <c r="AT44">
        <v>0.03</v>
      </c>
      <c r="AU44" t="s">
        <v>3</v>
      </c>
      <c r="AV44">
        <v>0</v>
      </c>
      <c r="AW44">
        <v>2</v>
      </c>
      <c r="AX44">
        <v>27758694</v>
      </c>
      <c r="AY44">
        <v>1</v>
      </c>
      <c r="AZ44">
        <v>0</v>
      </c>
      <c r="BA44">
        <v>44</v>
      </c>
      <c r="BB44">
        <v>1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20.884799999999998</v>
      </c>
      <c r="BL44">
        <v>6.1347000000000005</v>
      </c>
      <c r="BM44">
        <v>0</v>
      </c>
      <c r="BN44">
        <v>0</v>
      </c>
      <c r="BO44">
        <v>0</v>
      </c>
      <c r="BP44">
        <v>1</v>
      </c>
      <c r="BQ44">
        <v>0</v>
      </c>
      <c r="BR44">
        <f>' 8-гр. ЛС 1 (2)'!G110*SmtRes!Y44</f>
        <v>20.884799999999998</v>
      </c>
      <c r="BS44">
        <f>' 8-гр. ЛС 1 (2)'!G111*SmtRes!Y44</f>
        <v>6.1347000000000005</v>
      </c>
      <c r="BT44">
        <v>0</v>
      </c>
      <c r="BU44">
        <v>0</v>
      </c>
      <c r="BV44">
        <v>0</v>
      </c>
      <c r="BW44">
        <v>1</v>
      </c>
      <c r="CX44">
        <f>Y44*Source!I32</f>
        <v>7.8E-2</v>
      </c>
      <c r="CY44">
        <f>AB44</f>
        <v>696.16</v>
      </c>
      <c r="CZ44">
        <f>AF44</f>
        <v>696.16</v>
      </c>
      <c r="DA44">
        <f>AJ44</f>
        <v>1</v>
      </c>
      <c r="DB44">
        <v>0</v>
      </c>
    </row>
    <row r="45" spans="1:106" x14ac:dyDescent="0.2">
      <c r="A45">
        <f>ROW(Source!A32)</f>
        <v>32</v>
      </c>
      <c r="B45">
        <v>27758530</v>
      </c>
      <c r="C45">
        <v>27758682</v>
      </c>
      <c r="D45">
        <v>15709939</v>
      </c>
      <c r="E45">
        <v>1</v>
      </c>
      <c r="F45">
        <v>1</v>
      </c>
      <c r="G45">
        <v>1</v>
      </c>
      <c r="H45">
        <v>2</v>
      </c>
      <c r="I45" t="s">
        <v>304</v>
      </c>
      <c r="J45" t="s">
        <v>305</v>
      </c>
      <c r="K45" t="s">
        <v>306</v>
      </c>
      <c r="L45">
        <v>1368</v>
      </c>
      <c r="N45">
        <v>1011</v>
      </c>
      <c r="O45" t="s">
        <v>234</v>
      </c>
      <c r="P45" t="s">
        <v>234</v>
      </c>
      <c r="Q45">
        <v>1</v>
      </c>
      <c r="W45">
        <v>0</v>
      </c>
      <c r="X45">
        <v>-1769165372</v>
      </c>
      <c r="Y45">
        <v>0.03</v>
      </c>
      <c r="AA45">
        <v>0</v>
      </c>
      <c r="AB45">
        <v>989.22</v>
      </c>
      <c r="AC45">
        <v>235.87</v>
      </c>
      <c r="AD45">
        <v>0</v>
      </c>
      <c r="AE45">
        <v>0</v>
      </c>
      <c r="AF45">
        <v>989.22</v>
      </c>
      <c r="AG45">
        <f>' 8-гр. ЛС 1 (2)'!G112</f>
        <v>989.22</v>
      </c>
      <c r="AH45">
        <f>' 8-гр. ЛС 1 (2)'!G113</f>
        <v>235.87</v>
      </c>
      <c r="AJ45">
        <v>1</v>
      </c>
      <c r="AK45">
        <f>ROUND(Y45*AG45,4)</f>
        <v>29.676600000000001</v>
      </c>
      <c r="AL45">
        <v>1</v>
      </c>
      <c r="AN45">
        <v>0</v>
      </c>
      <c r="AO45">
        <v>0</v>
      </c>
      <c r="AP45">
        <v>0</v>
      </c>
      <c r="AQ45">
        <v>1</v>
      </c>
      <c r="AR45">
        <v>0</v>
      </c>
      <c r="AS45" t="s">
        <v>3</v>
      </c>
      <c r="AT45">
        <v>0.03</v>
      </c>
      <c r="AU45" t="s">
        <v>3</v>
      </c>
      <c r="AV45">
        <v>0</v>
      </c>
      <c r="AW45">
        <v>2</v>
      </c>
      <c r="AX45">
        <v>27758695</v>
      </c>
      <c r="AY45">
        <v>1</v>
      </c>
      <c r="AZ45">
        <v>0</v>
      </c>
      <c r="BA45">
        <v>45</v>
      </c>
      <c r="BB45">
        <v>1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29.676600000000001</v>
      </c>
      <c r="BL45">
        <v>7.0761000000000003</v>
      </c>
      <c r="BM45">
        <v>0</v>
      </c>
      <c r="BN45">
        <v>0</v>
      </c>
      <c r="BO45">
        <v>0</v>
      </c>
      <c r="BP45">
        <v>1</v>
      </c>
      <c r="BQ45">
        <v>0</v>
      </c>
      <c r="BR45">
        <f>' 8-гр. ЛС 1 (2)'!G112*SmtRes!Y45</f>
        <v>29.676600000000001</v>
      </c>
      <c r="BS45">
        <f>' 8-гр. ЛС 1 (2)'!G113*SmtRes!Y45</f>
        <v>7.0761000000000003</v>
      </c>
      <c r="BT45">
        <v>0</v>
      </c>
      <c r="BU45">
        <v>0</v>
      </c>
      <c r="BV45">
        <v>0</v>
      </c>
      <c r="BW45">
        <v>1</v>
      </c>
      <c r="CX45">
        <f>Y45*Source!I32</f>
        <v>7.8E-2</v>
      </c>
      <c r="CY45">
        <f>AB45</f>
        <v>989.22</v>
      </c>
      <c r="CZ45">
        <f>AF45</f>
        <v>989.22</v>
      </c>
      <c r="DA45">
        <f>AJ45</f>
        <v>1</v>
      </c>
      <c r="DB45">
        <v>0</v>
      </c>
    </row>
    <row r="46" spans="1:106" x14ac:dyDescent="0.2">
      <c r="A46">
        <f>ROW(Source!A32)</f>
        <v>32</v>
      </c>
      <c r="B46">
        <v>27758530</v>
      </c>
      <c r="C46">
        <v>27758682</v>
      </c>
      <c r="D46">
        <v>15710003</v>
      </c>
      <c r="E46">
        <v>1</v>
      </c>
      <c r="F46">
        <v>1</v>
      </c>
      <c r="G46">
        <v>1</v>
      </c>
      <c r="H46">
        <v>2</v>
      </c>
      <c r="I46" t="s">
        <v>307</v>
      </c>
      <c r="J46" t="s">
        <v>308</v>
      </c>
      <c r="K46" t="s">
        <v>309</v>
      </c>
      <c r="L46">
        <v>1368</v>
      </c>
      <c r="N46">
        <v>1011</v>
      </c>
      <c r="O46" t="s">
        <v>234</v>
      </c>
      <c r="P46" t="s">
        <v>234</v>
      </c>
      <c r="Q46">
        <v>1</v>
      </c>
      <c r="W46">
        <v>0</v>
      </c>
      <c r="X46">
        <v>-1376107562</v>
      </c>
      <c r="Y46">
        <v>0.56999999999999995</v>
      </c>
      <c r="AA46">
        <v>0</v>
      </c>
      <c r="AB46">
        <v>23.16</v>
      </c>
      <c r="AC46">
        <v>0</v>
      </c>
      <c r="AD46">
        <v>0</v>
      </c>
      <c r="AE46">
        <v>0</v>
      </c>
      <c r="AF46">
        <v>23.16</v>
      </c>
      <c r="AG46">
        <f>' 8-гр. ЛС 1 (2)'!G114</f>
        <v>23.16</v>
      </c>
      <c r="AH46">
        <f>ROUND(AC46,2)</f>
        <v>0</v>
      </c>
      <c r="AJ46">
        <v>1</v>
      </c>
      <c r="AK46">
        <f>ROUND(Y46*AG46,4)</f>
        <v>13.2012</v>
      </c>
      <c r="AL46">
        <v>1</v>
      </c>
      <c r="AN46">
        <v>0</v>
      </c>
      <c r="AO46">
        <v>0</v>
      </c>
      <c r="AP46">
        <v>0</v>
      </c>
      <c r="AQ46">
        <v>1</v>
      </c>
      <c r="AR46">
        <v>0</v>
      </c>
      <c r="AS46" t="s">
        <v>3</v>
      </c>
      <c r="AT46">
        <v>0.56999999999999995</v>
      </c>
      <c r="AU46" t="s">
        <v>3</v>
      </c>
      <c r="AV46">
        <v>0</v>
      </c>
      <c r="AW46">
        <v>2</v>
      </c>
      <c r="AX46">
        <v>27758696</v>
      </c>
      <c r="AY46">
        <v>1</v>
      </c>
      <c r="AZ46">
        <v>0</v>
      </c>
      <c r="BA46">
        <v>46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13.201199999999998</v>
      </c>
      <c r="BL46">
        <v>0</v>
      </c>
      <c r="BM46">
        <v>0</v>
      </c>
      <c r="BN46">
        <v>0</v>
      </c>
      <c r="BO46">
        <v>0</v>
      </c>
      <c r="BP46">
        <v>1</v>
      </c>
      <c r="BQ46">
        <v>0</v>
      </c>
      <c r="BR46">
        <f>' 8-гр. ЛС 1 (2)'!G114*SmtRes!Y46</f>
        <v>13.201199999999998</v>
      </c>
      <c r="BS46">
        <v>0</v>
      </c>
      <c r="BT46">
        <v>0</v>
      </c>
      <c r="BU46">
        <v>0</v>
      </c>
      <c r="BV46">
        <v>0</v>
      </c>
      <c r="BW46">
        <v>1</v>
      </c>
      <c r="CX46">
        <f>Y46*Source!I32</f>
        <v>1.482</v>
      </c>
      <c r="CY46">
        <f>AB46</f>
        <v>23.16</v>
      </c>
      <c r="CZ46">
        <f>AF46</f>
        <v>23.16</v>
      </c>
      <c r="DA46">
        <f>AJ46</f>
        <v>1</v>
      </c>
      <c r="DB46">
        <v>0</v>
      </c>
    </row>
    <row r="47" spans="1:106" x14ac:dyDescent="0.2">
      <c r="A47">
        <f>ROW(Source!A32)</f>
        <v>32</v>
      </c>
      <c r="B47">
        <v>27758530</v>
      </c>
      <c r="C47">
        <v>27758682</v>
      </c>
      <c r="D47">
        <v>15711260</v>
      </c>
      <c r="E47">
        <v>1</v>
      </c>
      <c r="F47">
        <v>1</v>
      </c>
      <c r="G47">
        <v>1</v>
      </c>
      <c r="H47">
        <v>2</v>
      </c>
      <c r="I47" t="s">
        <v>271</v>
      </c>
      <c r="J47" t="s">
        <v>272</v>
      </c>
      <c r="K47" t="s">
        <v>273</v>
      </c>
      <c r="L47">
        <v>1368</v>
      </c>
      <c r="N47">
        <v>1011</v>
      </c>
      <c r="O47" t="s">
        <v>234</v>
      </c>
      <c r="P47" t="s">
        <v>234</v>
      </c>
      <c r="Q47">
        <v>1</v>
      </c>
      <c r="W47">
        <v>0</v>
      </c>
      <c r="X47">
        <v>-706219601</v>
      </c>
      <c r="Y47">
        <v>0.03</v>
      </c>
      <c r="AA47">
        <v>0</v>
      </c>
      <c r="AB47">
        <v>822.45</v>
      </c>
      <c r="AC47">
        <v>0</v>
      </c>
      <c r="AD47">
        <v>0</v>
      </c>
      <c r="AE47">
        <v>0</v>
      </c>
      <c r="AF47">
        <v>822.45</v>
      </c>
      <c r="AG47">
        <f>' 8-гр. ЛС 1 (2)'!G115</f>
        <v>822.45</v>
      </c>
      <c r="AH47">
        <f>ROUND(AC47,2)</f>
        <v>0</v>
      </c>
      <c r="AJ47">
        <v>1</v>
      </c>
      <c r="AK47">
        <f>ROUND(Y47*AG47,4)</f>
        <v>24.673500000000001</v>
      </c>
      <c r="AL47">
        <v>1</v>
      </c>
      <c r="AN47">
        <v>0</v>
      </c>
      <c r="AO47">
        <v>0</v>
      </c>
      <c r="AP47">
        <v>0</v>
      </c>
      <c r="AQ47">
        <v>1</v>
      </c>
      <c r="AR47">
        <v>0</v>
      </c>
      <c r="AS47" t="s">
        <v>3</v>
      </c>
      <c r="AT47">
        <v>0.03</v>
      </c>
      <c r="AU47" t="s">
        <v>3</v>
      </c>
      <c r="AV47">
        <v>0</v>
      </c>
      <c r="AW47">
        <v>2</v>
      </c>
      <c r="AX47">
        <v>27758697</v>
      </c>
      <c r="AY47">
        <v>1</v>
      </c>
      <c r="AZ47">
        <v>0</v>
      </c>
      <c r="BA47">
        <v>47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24.673500000000001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f>' 8-гр. ЛС 1 (2)'!G115*SmtRes!Y47</f>
        <v>24.673500000000001</v>
      </c>
      <c r="BS47">
        <v>0</v>
      </c>
      <c r="BT47">
        <v>0</v>
      </c>
      <c r="BU47">
        <v>0</v>
      </c>
      <c r="BV47">
        <v>0</v>
      </c>
      <c r="BW47">
        <v>1</v>
      </c>
      <c r="CX47">
        <f>Y47*Source!I32</f>
        <v>7.8E-2</v>
      </c>
      <c r="CY47">
        <f>AB47</f>
        <v>822.45</v>
      </c>
      <c r="CZ47">
        <f>AF47</f>
        <v>822.45</v>
      </c>
      <c r="DA47">
        <f>AJ47</f>
        <v>1</v>
      </c>
      <c r="DB47">
        <v>0</v>
      </c>
    </row>
    <row r="48" spans="1:106" x14ac:dyDescent="0.2">
      <c r="A48">
        <f>ROW(Source!A32)</f>
        <v>32</v>
      </c>
      <c r="B48">
        <v>27758530</v>
      </c>
      <c r="C48">
        <v>27758682</v>
      </c>
      <c r="D48">
        <v>15712925</v>
      </c>
      <c r="E48">
        <v>1</v>
      </c>
      <c r="F48">
        <v>1</v>
      </c>
      <c r="G48">
        <v>1</v>
      </c>
      <c r="H48">
        <v>3</v>
      </c>
      <c r="I48" t="s">
        <v>310</v>
      </c>
      <c r="J48" t="s">
        <v>311</v>
      </c>
      <c r="K48" t="s">
        <v>312</v>
      </c>
      <c r="L48">
        <v>1327</v>
      </c>
      <c r="N48">
        <v>1005</v>
      </c>
      <c r="O48" t="s">
        <v>73</v>
      </c>
      <c r="P48" t="s">
        <v>73</v>
      </c>
      <c r="Q48">
        <v>1</v>
      </c>
      <c r="W48">
        <v>0</v>
      </c>
      <c r="X48">
        <v>-1503851420</v>
      </c>
      <c r="Y48">
        <v>10.199999999999999</v>
      </c>
      <c r="AA48">
        <v>2650</v>
      </c>
      <c r="AB48">
        <v>0</v>
      </c>
      <c r="AC48">
        <v>0</v>
      </c>
      <c r="AD48">
        <v>0</v>
      </c>
      <c r="AE48">
        <v>2650</v>
      </c>
      <c r="AF48">
        <f>' 8-гр. ЛС 1 (2)'!G117</f>
        <v>2650</v>
      </c>
      <c r="AG48">
        <v>0</v>
      </c>
      <c r="AH48">
        <v>0</v>
      </c>
      <c r="AJ48">
        <v>1</v>
      </c>
      <c r="AK48">
        <f>ROUND(Y48*AF48,4)</f>
        <v>27030</v>
      </c>
      <c r="AL48">
        <v>1</v>
      </c>
      <c r="AN48">
        <v>0</v>
      </c>
      <c r="AO48">
        <v>0</v>
      </c>
      <c r="AP48">
        <v>0</v>
      </c>
      <c r="AQ48">
        <v>1</v>
      </c>
      <c r="AR48">
        <v>0</v>
      </c>
      <c r="AS48" t="s">
        <v>3</v>
      </c>
      <c r="AT48">
        <v>10.199999999999999</v>
      </c>
      <c r="AU48" t="s">
        <v>3</v>
      </c>
      <c r="AV48">
        <v>0</v>
      </c>
      <c r="AW48">
        <v>2</v>
      </c>
      <c r="AX48">
        <v>27758698</v>
      </c>
      <c r="AY48">
        <v>2</v>
      </c>
      <c r="AZ48">
        <v>16384</v>
      </c>
      <c r="BA48">
        <v>48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27029.999999999996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</v>
      </c>
      <c r="BQ48">
        <f>' 8-гр. ЛС 1 (2)'!G117*SmtRes!Y48</f>
        <v>27029.999999999996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1</v>
      </c>
      <c r="CX48">
        <f>Y48*Source!I32</f>
        <v>26.52</v>
      </c>
      <c r="CY48">
        <f>AA48</f>
        <v>2650</v>
      </c>
      <c r="CZ48">
        <f>AE48</f>
        <v>2650</v>
      </c>
      <c r="DA48">
        <f>AI48</f>
        <v>0</v>
      </c>
      <c r="DB48">
        <v>0</v>
      </c>
    </row>
    <row r="49" spans="1:106" x14ac:dyDescent="0.2">
      <c r="A49">
        <f>ROW(Source!A32)</f>
        <v>32</v>
      </c>
      <c r="B49">
        <v>27758530</v>
      </c>
      <c r="C49">
        <v>27758682</v>
      </c>
      <c r="D49">
        <v>15721376</v>
      </c>
      <c r="E49">
        <v>1</v>
      </c>
      <c r="F49">
        <v>1</v>
      </c>
      <c r="G49">
        <v>1</v>
      </c>
      <c r="H49">
        <v>3</v>
      </c>
      <c r="I49" t="s">
        <v>313</v>
      </c>
      <c r="J49" t="s">
        <v>314</v>
      </c>
      <c r="K49" t="s">
        <v>315</v>
      </c>
      <c r="L49">
        <v>1339</v>
      </c>
      <c r="N49">
        <v>1007</v>
      </c>
      <c r="O49" t="s">
        <v>34</v>
      </c>
      <c r="P49" t="s">
        <v>34</v>
      </c>
      <c r="Q49">
        <v>1</v>
      </c>
      <c r="W49">
        <v>0</v>
      </c>
      <c r="X49">
        <v>690500744</v>
      </c>
      <c r="Y49">
        <v>0.05</v>
      </c>
      <c r="AA49">
        <v>397.8</v>
      </c>
      <c r="AB49">
        <v>0</v>
      </c>
      <c r="AC49">
        <v>0</v>
      </c>
      <c r="AD49">
        <v>0</v>
      </c>
      <c r="AE49">
        <v>397.8</v>
      </c>
      <c r="AF49">
        <f>' 8-гр. ЛС 1 (2)'!G118</f>
        <v>397.8</v>
      </c>
      <c r="AG49">
        <v>0</v>
      </c>
      <c r="AH49">
        <v>0</v>
      </c>
      <c r="AJ49">
        <v>1</v>
      </c>
      <c r="AK49">
        <f>ROUND(Y49*AF49,4)</f>
        <v>19.89</v>
      </c>
      <c r="AL49">
        <v>1</v>
      </c>
      <c r="AN49">
        <v>0</v>
      </c>
      <c r="AO49">
        <v>0</v>
      </c>
      <c r="AP49">
        <v>0</v>
      </c>
      <c r="AQ49">
        <v>1</v>
      </c>
      <c r="AR49">
        <v>0</v>
      </c>
      <c r="AS49" t="s">
        <v>3</v>
      </c>
      <c r="AT49">
        <v>0.05</v>
      </c>
      <c r="AU49" t="s">
        <v>3</v>
      </c>
      <c r="AV49">
        <v>0</v>
      </c>
      <c r="AW49">
        <v>1</v>
      </c>
      <c r="AX49">
        <v>-1</v>
      </c>
      <c r="AY49">
        <v>0</v>
      </c>
      <c r="AZ49">
        <v>0</v>
      </c>
      <c r="BA49" t="s">
        <v>3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19.89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1</v>
      </c>
      <c r="BQ49">
        <f>' 8-гр. ЛС 1 (2)'!G118*SmtRes!Y49</f>
        <v>19.89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</v>
      </c>
      <c r="CX49">
        <f>Y49*Source!I32</f>
        <v>0.13</v>
      </c>
      <c r="CY49">
        <f>AA49</f>
        <v>397.8</v>
      </c>
      <c r="CZ49">
        <f>AE49</f>
        <v>397.8</v>
      </c>
      <c r="DA49">
        <f>AI49</f>
        <v>0</v>
      </c>
      <c r="DB49">
        <v>0</v>
      </c>
    </row>
    <row r="50" spans="1:106" x14ac:dyDescent="0.2">
      <c r="A50">
        <f>ROW(Source!A32)</f>
        <v>32</v>
      </c>
      <c r="B50">
        <v>27758530</v>
      </c>
      <c r="C50">
        <v>27758682</v>
      </c>
      <c r="D50">
        <v>15721795</v>
      </c>
      <c r="E50">
        <v>1</v>
      </c>
      <c r="F50">
        <v>1</v>
      </c>
      <c r="G50">
        <v>1</v>
      </c>
      <c r="H50">
        <v>3</v>
      </c>
      <c r="I50" t="s">
        <v>280</v>
      </c>
      <c r="J50" t="s">
        <v>281</v>
      </c>
      <c r="K50" t="s">
        <v>282</v>
      </c>
      <c r="L50">
        <v>1339</v>
      </c>
      <c r="N50">
        <v>1007</v>
      </c>
      <c r="O50" t="s">
        <v>34</v>
      </c>
      <c r="P50" t="s">
        <v>34</v>
      </c>
      <c r="Q50">
        <v>1</v>
      </c>
      <c r="W50">
        <v>0</v>
      </c>
      <c r="X50">
        <v>-586330449</v>
      </c>
      <c r="Y50">
        <v>0.2</v>
      </c>
      <c r="AA50">
        <v>18.29</v>
      </c>
      <c r="AB50">
        <v>0</v>
      </c>
      <c r="AC50">
        <v>0</v>
      </c>
      <c r="AD50">
        <v>0</v>
      </c>
      <c r="AE50">
        <v>18.29</v>
      </c>
      <c r="AF50">
        <f>' 8-гр. ЛС 1 (2)'!G119</f>
        <v>18.29</v>
      </c>
      <c r="AG50">
        <v>0</v>
      </c>
      <c r="AH50">
        <v>0</v>
      </c>
      <c r="AJ50">
        <v>1</v>
      </c>
      <c r="AK50">
        <f>ROUND(Y50*AF50,4)</f>
        <v>3.6579999999999999</v>
      </c>
      <c r="AL50">
        <v>1</v>
      </c>
      <c r="AN50">
        <v>0</v>
      </c>
      <c r="AO50">
        <v>0</v>
      </c>
      <c r="AP50">
        <v>0</v>
      </c>
      <c r="AQ50">
        <v>1</v>
      </c>
      <c r="AR50">
        <v>0</v>
      </c>
      <c r="AS50" t="s">
        <v>3</v>
      </c>
      <c r="AT50">
        <v>0.2</v>
      </c>
      <c r="AU50" t="s">
        <v>3</v>
      </c>
      <c r="AV50">
        <v>0</v>
      </c>
      <c r="AW50">
        <v>2</v>
      </c>
      <c r="AX50">
        <v>27758700</v>
      </c>
      <c r="AY50">
        <v>1</v>
      </c>
      <c r="AZ50">
        <v>0</v>
      </c>
      <c r="BA50">
        <v>50</v>
      </c>
      <c r="BB50">
        <v>1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3.6579999999999999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1</v>
      </c>
      <c r="BQ50">
        <f>' 8-гр. ЛС 1 (2)'!G119*SmtRes!Y50</f>
        <v>3.6579999999999999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1</v>
      </c>
      <c r="CX50">
        <f>Y50*Source!I32</f>
        <v>0.52</v>
      </c>
      <c r="CY50">
        <f>AA50</f>
        <v>18.29</v>
      </c>
      <c r="CZ50">
        <f>AE50</f>
        <v>18.29</v>
      </c>
      <c r="DA50">
        <f>AI50</f>
        <v>0</v>
      </c>
      <c r="DB50">
        <v>0</v>
      </c>
    </row>
    <row r="51" spans="1:106" x14ac:dyDescent="0.2">
      <c r="A51">
        <f>ROW(Source!A34)</f>
        <v>34</v>
      </c>
      <c r="B51">
        <v>27758530</v>
      </c>
      <c r="C51">
        <v>27758702</v>
      </c>
      <c r="D51">
        <v>9254951</v>
      </c>
      <c r="E51">
        <v>1</v>
      </c>
      <c r="F51">
        <v>1</v>
      </c>
      <c r="G51">
        <v>1</v>
      </c>
      <c r="H51">
        <v>1</v>
      </c>
      <c r="I51" t="s">
        <v>316</v>
      </c>
      <c r="J51" t="s">
        <v>3</v>
      </c>
      <c r="K51" t="s">
        <v>317</v>
      </c>
      <c r="L51">
        <v>1369</v>
      </c>
      <c r="N51">
        <v>1013</v>
      </c>
      <c r="O51" t="s">
        <v>228</v>
      </c>
      <c r="P51" t="s">
        <v>228</v>
      </c>
      <c r="Q51">
        <v>1</v>
      </c>
      <c r="W51">
        <v>0</v>
      </c>
      <c r="X51">
        <v>-1371206905</v>
      </c>
      <c r="Y51">
        <v>72.37</v>
      </c>
      <c r="AA51">
        <v>0</v>
      </c>
      <c r="AB51">
        <v>0</v>
      </c>
      <c r="AC51">
        <v>0</v>
      </c>
      <c r="AD51">
        <v>177.68</v>
      </c>
      <c r="AE51">
        <v>0</v>
      </c>
      <c r="AF51">
        <v>0</v>
      </c>
      <c r="AG51">
        <v>0</v>
      </c>
      <c r="AH51">
        <v>177.68</v>
      </c>
      <c r="AI51">
        <f>' 8-гр. ЛС 1 (2)'!G126</f>
        <v>177.68</v>
      </c>
      <c r="AJ51">
        <v>1</v>
      </c>
      <c r="AK51">
        <f>ROUND(Y51*AI51,4)</f>
        <v>12858.7016</v>
      </c>
      <c r="AL51">
        <v>1</v>
      </c>
      <c r="AN51">
        <v>0</v>
      </c>
      <c r="AO51">
        <v>0</v>
      </c>
      <c r="AP51">
        <v>0</v>
      </c>
      <c r="AQ51">
        <v>1</v>
      </c>
      <c r="AR51">
        <v>0</v>
      </c>
      <c r="AS51" t="s">
        <v>3</v>
      </c>
      <c r="AT51">
        <v>72.37</v>
      </c>
      <c r="AU51" t="s">
        <v>3</v>
      </c>
      <c r="AV51">
        <v>1</v>
      </c>
      <c r="AW51">
        <v>2</v>
      </c>
      <c r="AX51">
        <v>27758712</v>
      </c>
      <c r="AY51">
        <v>1</v>
      </c>
      <c r="AZ51">
        <v>0</v>
      </c>
      <c r="BA51">
        <v>51</v>
      </c>
      <c r="BB51">
        <v>1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12858.701600000002</v>
      </c>
      <c r="BN51">
        <v>72.37</v>
      </c>
      <c r="BO51">
        <v>0</v>
      </c>
      <c r="BP51">
        <v>1</v>
      </c>
      <c r="BQ51">
        <v>0</v>
      </c>
      <c r="BR51">
        <v>0</v>
      </c>
      <c r="BS51">
        <v>0</v>
      </c>
      <c r="BT51">
        <f>' 8-гр. ЛС 1 (2)'!G126*SmtRes!Y51</f>
        <v>12858.701600000002</v>
      </c>
      <c r="BU51">
        <v>72.37</v>
      </c>
      <c r="BV51">
        <v>0</v>
      </c>
      <c r="BW51">
        <v>1</v>
      </c>
      <c r="CX51">
        <f>Y51*Source!I34</f>
        <v>3.6185000000000005</v>
      </c>
      <c r="CY51">
        <f>AD51</f>
        <v>177.68</v>
      </c>
      <c r="CZ51">
        <f>AH51</f>
        <v>177.68</v>
      </c>
      <c r="DA51">
        <f>AL51</f>
        <v>1</v>
      </c>
      <c r="DB51">
        <v>0</v>
      </c>
    </row>
    <row r="52" spans="1:106" x14ac:dyDescent="0.2">
      <c r="A52">
        <f>ROW(Source!A34)</f>
        <v>34</v>
      </c>
      <c r="B52">
        <v>27758530</v>
      </c>
      <c r="C52">
        <v>27758702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24</v>
      </c>
      <c r="J52" t="s">
        <v>3</v>
      </c>
      <c r="K52" t="s">
        <v>229</v>
      </c>
      <c r="L52">
        <v>608254</v>
      </c>
      <c r="N52">
        <v>1013</v>
      </c>
      <c r="O52" t="s">
        <v>230</v>
      </c>
      <c r="P52" t="s">
        <v>230</v>
      </c>
      <c r="Q52">
        <v>1</v>
      </c>
      <c r="W52">
        <v>0</v>
      </c>
      <c r="X52">
        <v>-185737400</v>
      </c>
      <c r="Y52">
        <v>23.38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f>' 8-гр. ЛС 1 (2)'!G127</f>
        <v>0</v>
      </c>
      <c r="AJ52">
        <v>1</v>
      </c>
      <c r="AK52">
        <f>AVERAGE(AH53*Y53,AH54*Y54,AH55*Y55,AH56*Y56,AH57*Y57)*Source!I34</f>
        <v>63.213138000000008</v>
      </c>
      <c r="AL52">
        <v>1</v>
      </c>
      <c r="AN52">
        <v>0</v>
      </c>
      <c r="AO52">
        <v>0</v>
      </c>
      <c r="AP52">
        <v>0</v>
      </c>
      <c r="AQ52">
        <v>1</v>
      </c>
      <c r="AR52">
        <v>0</v>
      </c>
      <c r="AS52" t="s">
        <v>3</v>
      </c>
      <c r="AT52">
        <v>23.38</v>
      </c>
      <c r="AU52" t="s">
        <v>3</v>
      </c>
      <c r="AV52">
        <v>2</v>
      </c>
      <c r="AW52">
        <v>2</v>
      </c>
      <c r="AX52">
        <v>27758713</v>
      </c>
      <c r="AY52">
        <v>1</v>
      </c>
      <c r="AZ52">
        <v>0</v>
      </c>
      <c r="BA52">
        <v>52</v>
      </c>
      <c r="BB52">
        <v>1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23.38</v>
      </c>
      <c r="BP52">
        <v>1</v>
      </c>
      <c r="BQ52">
        <v>0</v>
      </c>
      <c r="BR52">
        <v>0</v>
      </c>
      <c r="BS52">
        <v>0</v>
      </c>
      <c r="BT52">
        <f>' 8-гр. ЛС 1 (2)'!G127*SmtRes!Y52</f>
        <v>0</v>
      </c>
      <c r="BU52">
        <v>0</v>
      </c>
      <c r="BV52">
        <v>23.38</v>
      </c>
      <c r="BW52">
        <v>1</v>
      </c>
      <c r="CX52">
        <f>Y52*Source!I34</f>
        <v>1.169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ROW(Source!A34)</f>
        <v>34</v>
      </c>
      <c r="B53">
        <v>27758530</v>
      </c>
      <c r="C53">
        <v>27758702</v>
      </c>
      <c r="D53">
        <v>15709293</v>
      </c>
      <c r="E53">
        <v>1</v>
      </c>
      <c r="F53">
        <v>1</v>
      </c>
      <c r="G53">
        <v>1</v>
      </c>
      <c r="H53">
        <v>2</v>
      </c>
      <c r="I53" t="s">
        <v>231</v>
      </c>
      <c r="J53" t="s">
        <v>232</v>
      </c>
      <c r="K53" t="s">
        <v>233</v>
      </c>
      <c r="L53">
        <v>1368</v>
      </c>
      <c r="N53">
        <v>1011</v>
      </c>
      <c r="O53" t="s">
        <v>234</v>
      </c>
      <c r="P53" t="s">
        <v>234</v>
      </c>
      <c r="Q53">
        <v>1</v>
      </c>
      <c r="W53">
        <v>0</v>
      </c>
      <c r="X53">
        <v>-1325471844</v>
      </c>
      <c r="Y53">
        <v>22.03</v>
      </c>
      <c r="AA53">
        <v>0</v>
      </c>
      <c r="AB53">
        <v>661.15</v>
      </c>
      <c r="AC53">
        <v>274.41000000000003</v>
      </c>
      <c r="AD53">
        <v>0</v>
      </c>
      <c r="AE53">
        <v>0</v>
      </c>
      <c r="AF53">
        <v>661.15</v>
      </c>
      <c r="AG53">
        <f>' 8-гр. ЛС 1 (2)'!G129</f>
        <v>661.15</v>
      </c>
      <c r="AH53">
        <f>' 8-гр. ЛС 1 (2)'!G130</f>
        <v>274.41000000000003</v>
      </c>
      <c r="AJ53">
        <v>1</v>
      </c>
      <c r="AK53">
        <f>ROUND(Y53*AG53,4)</f>
        <v>14565.1345</v>
      </c>
      <c r="AL53">
        <v>1</v>
      </c>
      <c r="AN53">
        <v>0</v>
      </c>
      <c r="AO53">
        <v>0</v>
      </c>
      <c r="AP53">
        <v>0</v>
      </c>
      <c r="AQ53">
        <v>1</v>
      </c>
      <c r="AR53">
        <v>0</v>
      </c>
      <c r="AS53" t="s">
        <v>3</v>
      </c>
      <c r="AT53">
        <v>22.03</v>
      </c>
      <c r="AU53" t="s">
        <v>3</v>
      </c>
      <c r="AV53">
        <v>0</v>
      </c>
      <c r="AW53">
        <v>2</v>
      </c>
      <c r="AX53">
        <v>27758714</v>
      </c>
      <c r="AY53">
        <v>1</v>
      </c>
      <c r="AZ53">
        <v>0</v>
      </c>
      <c r="BA53">
        <v>53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14565.1345</v>
      </c>
      <c r="BL53">
        <v>6045.252300000001</v>
      </c>
      <c r="BM53">
        <v>0</v>
      </c>
      <c r="BN53">
        <v>0</v>
      </c>
      <c r="BO53">
        <v>0</v>
      </c>
      <c r="BP53">
        <v>1</v>
      </c>
      <c r="BQ53">
        <v>0</v>
      </c>
      <c r="BR53">
        <f>' 8-гр. ЛС 1 (2)'!G129*SmtRes!Y53</f>
        <v>14565.1345</v>
      </c>
      <c r="BS53">
        <f>' 8-гр. ЛС 1 (2)'!G130*SmtRes!Y53</f>
        <v>6045.252300000001</v>
      </c>
      <c r="BT53">
        <v>0</v>
      </c>
      <c r="BU53">
        <v>0</v>
      </c>
      <c r="BV53">
        <v>0</v>
      </c>
      <c r="BW53">
        <v>1</v>
      </c>
      <c r="CX53">
        <f>Y53*Source!I34</f>
        <v>1.1015000000000001</v>
      </c>
      <c r="CY53">
        <f>AB53</f>
        <v>661.15</v>
      </c>
      <c r="CZ53">
        <f>AF53</f>
        <v>661.15</v>
      </c>
      <c r="DA53">
        <f>AJ53</f>
        <v>1</v>
      </c>
      <c r="DB53">
        <v>0</v>
      </c>
    </row>
    <row r="54" spans="1:106" x14ac:dyDescent="0.2">
      <c r="A54">
        <f>ROW(Source!A34)</f>
        <v>34</v>
      </c>
      <c r="B54">
        <v>27758530</v>
      </c>
      <c r="C54">
        <v>27758702</v>
      </c>
      <c r="D54">
        <v>15709345</v>
      </c>
      <c r="E54">
        <v>1</v>
      </c>
      <c r="F54">
        <v>1</v>
      </c>
      <c r="G54">
        <v>1</v>
      </c>
      <c r="H54">
        <v>2</v>
      </c>
      <c r="I54" t="s">
        <v>291</v>
      </c>
      <c r="J54" t="s">
        <v>292</v>
      </c>
      <c r="K54" t="s">
        <v>293</v>
      </c>
      <c r="L54">
        <v>1368</v>
      </c>
      <c r="N54">
        <v>1011</v>
      </c>
      <c r="O54" t="s">
        <v>234</v>
      </c>
      <c r="P54" t="s">
        <v>234</v>
      </c>
      <c r="Q54">
        <v>1</v>
      </c>
      <c r="W54">
        <v>0</v>
      </c>
      <c r="X54">
        <v>-170261183</v>
      </c>
      <c r="Y54">
        <v>1.06</v>
      </c>
      <c r="AA54">
        <v>0</v>
      </c>
      <c r="AB54">
        <v>696.16</v>
      </c>
      <c r="AC54">
        <v>204.49</v>
      </c>
      <c r="AD54">
        <v>0</v>
      </c>
      <c r="AE54">
        <v>0</v>
      </c>
      <c r="AF54">
        <v>696.16</v>
      </c>
      <c r="AG54">
        <f>' 8-гр. ЛС 1 (2)'!G131</f>
        <v>696.16</v>
      </c>
      <c r="AH54">
        <f>' 8-гр. ЛС 1 (2)'!G132</f>
        <v>204.49</v>
      </c>
      <c r="AJ54">
        <v>1</v>
      </c>
      <c r="AK54">
        <f>ROUND(Y54*AG54,4)</f>
        <v>737.92960000000005</v>
      </c>
      <c r="AL54">
        <v>1</v>
      </c>
      <c r="AN54">
        <v>0</v>
      </c>
      <c r="AO54">
        <v>0</v>
      </c>
      <c r="AP54">
        <v>0</v>
      </c>
      <c r="AQ54">
        <v>1</v>
      </c>
      <c r="AR54">
        <v>0</v>
      </c>
      <c r="AS54" t="s">
        <v>3</v>
      </c>
      <c r="AT54">
        <v>1.06</v>
      </c>
      <c r="AU54" t="s">
        <v>3</v>
      </c>
      <c r="AV54">
        <v>0</v>
      </c>
      <c r="AW54">
        <v>2</v>
      </c>
      <c r="AX54">
        <v>27758715</v>
      </c>
      <c r="AY54">
        <v>1</v>
      </c>
      <c r="AZ54">
        <v>0</v>
      </c>
      <c r="BA54">
        <v>54</v>
      </c>
      <c r="BB54">
        <v>1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737.92960000000005</v>
      </c>
      <c r="BL54">
        <v>216.75940000000003</v>
      </c>
      <c r="BM54">
        <v>0</v>
      </c>
      <c r="BN54">
        <v>0</v>
      </c>
      <c r="BO54">
        <v>0</v>
      </c>
      <c r="BP54">
        <v>1</v>
      </c>
      <c r="BQ54">
        <v>0</v>
      </c>
      <c r="BR54">
        <f>' 8-гр. ЛС 1 (2)'!G131*SmtRes!Y54</f>
        <v>737.92960000000005</v>
      </c>
      <c r="BS54">
        <f>' 8-гр. ЛС 1 (2)'!G132*SmtRes!Y54</f>
        <v>216.75940000000003</v>
      </c>
      <c r="BT54">
        <v>0</v>
      </c>
      <c r="BU54">
        <v>0</v>
      </c>
      <c r="BV54">
        <v>0</v>
      </c>
      <c r="BW54">
        <v>1</v>
      </c>
      <c r="CX54">
        <f>Y54*Source!I34</f>
        <v>5.3000000000000005E-2</v>
      </c>
      <c r="CY54">
        <f>AB54</f>
        <v>696.16</v>
      </c>
      <c r="CZ54">
        <f>AF54</f>
        <v>696.16</v>
      </c>
      <c r="DA54">
        <f>AJ54</f>
        <v>1</v>
      </c>
      <c r="DB54">
        <v>0</v>
      </c>
    </row>
    <row r="55" spans="1:106" x14ac:dyDescent="0.2">
      <c r="A55">
        <f>ROW(Source!A34)</f>
        <v>34</v>
      </c>
      <c r="B55">
        <v>27758530</v>
      </c>
      <c r="C55">
        <v>27758702</v>
      </c>
      <c r="D55">
        <v>15709527</v>
      </c>
      <c r="E55">
        <v>1</v>
      </c>
      <c r="F55">
        <v>1</v>
      </c>
      <c r="G55">
        <v>1</v>
      </c>
      <c r="H55">
        <v>2</v>
      </c>
      <c r="I55" t="s">
        <v>318</v>
      </c>
      <c r="J55" t="s">
        <v>319</v>
      </c>
      <c r="K55" t="s">
        <v>320</v>
      </c>
      <c r="L55">
        <v>1368</v>
      </c>
      <c r="N55">
        <v>1011</v>
      </c>
      <c r="O55" t="s">
        <v>234</v>
      </c>
      <c r="P55" t="s">
        <v>234</v>
      </c>
      <c r="Q55">
        <v>1</v>
      </c>
      <c r="W55">
        <v>0</v>
      </c>
      <c r="X55">
        <v>32638510</v>
      </c>
      <c r="Y55">
        <v>0.28999999999999998</v>
      </c>
      <c r="AA55">
        <v>0</v>
      </c>
      <c r="AB55">
        <v>660.86</v>
      </c>
      <c r="AC55">
        <v>204.49</v>
      </c>
      <c r="AD55">
        <v>0</v>
      </c>
      <c r="AE55">
        <v>0</v>
      </c>
      <c r="AF55">
        <v>660.86</v>
      </c>
      <c r="AG55">
        <f>' 8-гр. ЛС 1 (2)'!G133</f>
        <v>660.86</v>
      </c>
      <c r="AH55">
        <f>' 8-гр. ЛС 1 (2)'!G134</f>
        <v>204.49</v>
      </c>
      <c r="AJ55">
        <v>1</v>
      </c>
      <c r="AK55">
        <f>ROUND(Y55*AG55,4)</f>
        <v>191.64940000000001</v>
      </c>
      <c r="AL55">
        <v>1</v>
      </c>
      <c r="AN55">
        <v>0</v>
      </c>
      <c r="AO55">
        <v>0</v>
      </c>
      <c r="AP55">
        <v>0</v>
      </c>
      <c r="AQ55">
        <v>1</v>
      </c>
      <c r="AR55">
        <v>0</v>
      </c>
      <c r="AS55" t="s">
        <v>3</v>
      </c>
      <c r="AT55">
        <v>0.28999999999999998</v>
      </c>
      <c r="AU55" t="s">
        <v>3</v>
      </c>
      <c r="AV55">
        <v>0</v>
      </c>
      <c r="AW55">
        <v>2</v>
      </c>
      <c r="AX55">
        <v>27758716</v>
      </c>
      <c r="AY55">
        <v>1</v>
      </c>
      <c r="AZ55">
        <v>0</v>
      </c>
      <c r="BA55">
        <v>55</v>
      </c>
      <c r="BB55">
        <v>1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191.64939999999999</v>
      </c>
      <c r="BL55">
        <v>59.302099999999996</v>
      </c>
      <c r="BM55">
        <v>0</v>
      </c>
      <c r="BN55">
        <v>0</v>
      </c>
      <c r="BO55">
        <v>0</v>
      </c>
      <c r="BP55">
        <v>1</v>
      </c>
      <c r="BQ55">
        <v>0</v>
      </c>
      <c r="BR55">
        <f>' 8-гр. ЛС 1 (2)'!G133*SmtRes!Y55</f>
        <v>191.64939999999999</v>
      </c>
      <c r="BS55">
        <f>' 8-гр. ЛС 1 (2)'!G134*SmtRes!Y55</f>
        <v>59.302099999999996</v>
      </c>
      <c r="BT55">
        <v>0</v>
      </c>
      <c r="BU55">
        <v>0</v>
      </c>
      <c r="BV55">
        <v>0</v>
      </c>
      <c r="BW55">
        <v>1</v>
      </c>
      <c r="CX55">
        <f>Y55*Source!I34</f>
        <v>1.4499999999999999E-2</v>
      </c>
      <c r="CY55">
        <f>AB55</f>
        <v>660.86</v>
      </c>
      <c r="CZ55">
        <f>AF55</f>
        <v>660.86</v>
      </c>
      <c r="DA55">
        <f>AJ55</f>
        <v>1</v>
      </c>
      <c r="DB55">
        <v>0</v>
      </c>
    </row>
    <row r="56" spans="1:106" x14ac:dyDescent="0.2">
      <c r="A56">
        <f>ROW(Source!A34)</f>
        <v>34</v>
      </c>
      <c r="B56">
        <v>27758530</v>
      </c>
      <c r="C56">
        <v>27758702</v>
      </c>
      <c r="D56">
        <v>15710921</v>
      </c>
      <c r="E56">
        <v>1</v>
      </c>
      <c r="F56">
        <v>1</v>
      </c>
      <c r="G56">
        <v>1</v>
      </c>
      <c r="H56">
        <v>2</v>
      </c>
      <c r="I56" t="s">
        <v>321</v>
      </c>
      <c r="J56" t="s">
        <v>322</v>
      </c>
      <c r="K56" t="s">
        <v>323</v>
      </c>
      <c r="L56">
        <v>1368</v>
      </c>
      <c r="N56">
        <v>1011</v>
      </c>
      <c r="O56" t="s">
        <v>234</v>
      </c>
      <c r="P56" t="s">
        <v>234</v>
      </c>
      <c r="Q56">
        <v>1</v>
      </c>
      <c r="W56">
        <v>0</v>
      </c>
      <c r="X56">
        <v>-360387867</v>
      </c>
      <c r="Y56">
        <v>1.17</v>
      </c>
      <c r="AA56">
        <v>0</v>
      </c>
      <c r="AB56">
        <v>39.58</v>
      </c>
      <c r="AC56">
        <v>0</v>
      </c>
      <c r="AD56">
        <v>0</v>
      </c>
      <c r="AE56">
        <v>0</v>
      </c>
      <c r="AF56">
        <v>39.58</v>
      </c>
      <c r="AG56">
        <f>' 8-гр. ЛС 1 (2)'!G135</f>
        <v>39.58</v>
      </c>
      <c r="AH56">
        <f>ROUND(AC56,2)</f>
        <v>0</v>
      </c>
      <c r="AJ56">
        <v>1</v>
      </c>
      <c r="AK56">
        <f>ROUND(Y56*AG56,4)</f>
        <v>46.308599999999998</v>
      </c>
      <c r="AL56">
        <v>1</v>
      </c>
      <c r="AN56">
        <v>0</v>
      </c>
      <c r="AO56">
        <v>0</v>
      </c>
      <c r="AP56">
        <v>0</v>
      </c>
      <c r="AQ56">
        <v>1</v>
      </c>
      <c r="AR56">
        <v>0</v>
      </c>
      <c r="AS56" t="s">
        <v>3</v>
      </c>
      <c r="AT56">
        <v>1.17</v>
      </c>
      <c r="AU56" t="s">
        <v>3</v>
      </c>
      <c r="AV56">
        <v>0</v>
      </c>
      <c r="AW56">
        <v>2</v>
      </c>
      <c r="AX56">
        <v>27758717</v>
      </c>
      <c r="AY56">
        <v>1</v>
      </c>
      <c r="AZ56">
        <v>0</v>
      </c>
      <c r="BA56">
        <v>56</v>
      </c>
      <c r="BB56">
        <v>1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46.308599999999998</v>
      </c>
      <c r="BL56">
        <v>0</v>
      </c>
      <c r="BM56">
        <v>0</v>
      </c>
      <c r="BN56">
        <v>0</v>
      </c>
      <c r="BO56">
        <v>0</v>
      </c>
      <c r="BP56">
        <v>1</v>
      </c>
      <c r="BQ56">
        <v>0</v>
      </c>
      <c r="BR56">
        <f>' 8-гр. ЛС 1 (2)'!G135*SmtRes!Y56</f>
        <v>46.308599999999998</v>
      </c>
      <c r="BS56">
        <v>0</v>
      </c>
      <c r="BT56">
        <v>0</v>
      </c>
      <c r="BU56">
        <v>0</v>
      </c>
      <c r="BV56">
        <v>0</v>
      </c>
      <c r="BW56">
        <v>1</v>
      </c>
      <c r="CX56">
        <f>Y56*Source!I34</f>
        <v>5.8499999999999996E-2</v>
      </c>
      <c r="CY56">
        <f>AB56</f>
        <v>39.58</v>
      </c>
      <c r="CZ56">
        <f>AF56</f>
        <v>39.58</v>
      </c>
      <c r="DA56">
        <f>AJ56</f>
        <v>1</v>
      </c>
      <c r="DB56">
        <v>0</v>
      </c>
    </row>
    <row r="57" spans="1:106" x14ac:dyDescent="0.2">
      <c r="A57">
        <f>ROW(Source!A34)</f>
        <v>34</v>
      </c>
      <c r="B57">
        <v>27758530</v>
      </c>
      <c r="C57">
        <v>27758702</v>
      </c>
      <c r="D57">
        <v>15711260</v>
      </c>
      <c r="E57">
        <v>1</v>
      </c>
      <c r="F57">
        <v>1</v>
      </c>
      <c r="G57">
        <v>1</v>
      </c>
      <c r="H57">
        <v>2</v>
      </c>
      <c r="I57" t="s">
        <v>271</v>
      </c>
      <c r="J57" t="s">
        <v>272</v>
      </c>
      <c r="K57" t="s">
        <v>273</v>
      </c>
      <c r="L57">
        <v>1368</v>
      </c>
      <c r="N57">
        <v>1011</v>
      </c>
      <c r="O57" t="s">
        <v>234</v>
      </c>
      <c r="P57" t="s">
        <v>234</v>
      </c>
      <c r="Q57">
        <v>1</v>
      </c>
      <c r="W57">
        <v>0</v>
      </c>
      <c r="X57">
        <v>-706219601</v>
      </c>
      <c r="Y57">
        <v>1.75</v>
      </c>
      <c r="AA57">
        <v>0</v>
      </c>
      <c r="AB57">
        <v>822.45</v>
      </c>
      <c r="AC57">
        <v>0</v>
      </c>
      <c r="AD57">
        <v>0</v>
      </c>
      <c r="AE57">
        <v>0</v>
      </c>
      <c r="AF57">
        <v>822.45</v>
      </c>
      <c r="AG57">
        <f>' 8-гр. ЛС 1 (2)'!G136</f>
        <v>822.45</v>
      </c>
      <c r="AH57">
        <f>ROUND(AC57,2)</f>
        <v>0</v>
      </c>
      <c r="AJ57">
        <v>1</v>
      </c>
      <c r="AK57">
        <f>ROUND(Y57*AG57,4)</f>
        <v>1439.2874999999999</v>
      </c>
      <c r="AL57">
        <v>1</v>
      </c>
      <c r="AN57">
        <v>0</v>
      </c>
      <c r="AO57">
        <v>0</v>
      </c>
      <c r="AP57">
        <v>0</v>
      </c>
      <c r="AQ57">
        <v>1</v>
      </c>
      <c r="AR57">
        <v>0</v>
      </c>
      <c r="AS57" t="s">
        <v>3</v>
      </c>
      <c r="AT57">
        <v>1.75</v>
      </c>
      <c r="AU57" t="s">
        <v>3</v>
      </c>
      <c r="AV57">
        <v>0</v>
      </c>
      <c r="AW57">
        <v>2</v>
      </c>
      <c r="AX57">
        <v>27758718</v>
      </c>
      <c r="AY57">
        <v>1</v>
      </c>
      <c r="AZ57">
        <v>0</v>
      </c>
      <c r="BA57">
        <v>57</v>
      </c>
      <c r="BB57">
        <v>1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1439.2875000000001</v>
      </c>
      <c r="BL57">
        <v>0</v>
      </c>
      <c r="BM57">
        <v>0</v>
      </c>
      <c r="BN57">
        <v>0</v>
      </c>
      <c r="BO57">
        <v>0</v>
      </c>
      <c r="BP57">
        <v>1</v>
      </c>
      <c r="BQ57">
        <v>0</v>
      </c>
      <c r="BR57">
        <f>' 8-гр. ЛС 1 (2)'!G136*SmtRes!Y57</f>
        <v>1439.2875000000001</v>
      </c>
      <c r="BS57">
        <v>0</v>
      </c>
      <c r="BT57">
        <v>0</v>
      </c>
      <c r="BU57">
        <v>0</v>
      </c>
      <c r="BV57">
        <v>0</v>
      </c>
      <c r="BW57">
        <v>1</v>
      </c>
      <c r="CX57">
        <f>Y57*Source!I34</f>
        <v>8.7500000000000008E-2</v>
      </c>
      <c r="CY57">
        <f>AB57</f>
        <v>822.45</v>
      </c>
      <c r="CZ57">
        <f>AF57</f>
        <v>822.45</v>
      </c>
      <c r="DA57">
        <f>AJ57</f>
        <v>1</v>
      </c>
      <c r="DB57">
        <v>0</v>
      </c>
    </row>
    <row r="58" spans="1:106" x14ac:dyDescent="0.2">
      <c r="A58">
        <f>ROW(Source!A34)</f>
        <v>34</v>
      </c>
      <c r="B58">
        <v>27758530</v>
      </c>
      <c r="C58">
        <v>27758702</v>
      </c>
      <c r="D58">
        <v>15719293</v>
      </c>
      <c r="E58">
        <v>1</v>
      </c>
      <c r="F58">
        <v>1</v>
      </c>
      <c r="G58">
        <v>1</v>
      </c>
      <c r="H58">
        <v>3</v>
      </c>
      <c r="I58" t="s">
        <v>324</v>
      </c>
      <c r="J58" t="s">
        <v>325</v>
      </c>
      <c r="K58" t="s">
        <v>326</v>
      </c>
      <c r="L58">
        <v>1354</v>
      </c>
      <c r="N58">
        <v>1010</v>
      </c>
      <c r="O58" t="s">
        <v>327</v>
      </c>
      <c r="P58" t="s">
        <v>327</v>
      </c>
      <c r="Q58">
        <v>1</v>
      </c>
      <c r="W58">
        <v>0</v>
      </c>
      <c r="X58">
        <v>1209558190</v>
      </c>
      <c r="Y58">
        <v>100</v>
      </c>
      <c r="AA58">
        <v>17500</v>
      </c>
      <c r="AB58">
        <v>0</v>
      </c>
      <c r="AC58">
        <v>0</v>
      </c>
      <c r="AD58">
        <v>0</v>
      </c>
      <c r="AE58">
        <v>17500</v>
      </c>
      <c r="AF58">
        <f>' 8-гр. ЛС 1 (2)'!G138</f>
        <v>17500</v>
      </c>
      <c r="AG58">
        <v>0</v>
      </c>
      <c r="AH58">
        <v>0</v>
      </c>
      <c r="AJ58">
        <v>1</v>
      </c>
      <c r="AK58">
        <f>ROUND(Y58*AF58,4)</f>
        <v>1750000</v>
      </c>
      <c r="AL58">
        <v>1</v>
      </c>
      <c r="AN58">
        <v>0</v>
      </c>
      <c r="AO58">
        <v>0</v>
      </c>
      <c r="AP58">
        <v>0</v>
      </c>
      <c r="AQ58">
        <v>1</v>
      </c>
      <c r="AR58">
        <v>0</v>
      </c>
      <c r="AS58" t="s">
        <v>3</v>
      </c>
      <c r="AT58">
        <v>100</v>
      </c>
      <c r="AU58" t="s">
        <v>3</v>
      </c>
      <c r="AV58">
        <v>0</v>
      </c>
      <c r="AW58">
        <v>2</v>
      </c>
      <c r="AX58">
        <v>27758719</v>
      </c>
      <c r="AY58">
        <v>2</v>
      </c>
      <c r="AZ58">
        <v>16384</v>
      </c>
      <c r="BA58">
        <v>58</v>
      </c>
      <c r="BB58">
        <v>1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1750000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1</v>
      </c>
      <c r="BQ58">
        <f>' 8-гр. ЛС 1 (2)'!G138*SmtRes!Y58</f>
        <v>1750000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1</v>
      </c>
      <c r="CX58">
        <f>Y58*Source!I34</f>
        <v>5</v>
      </c>
      <c r="CY58">
        <f>AA58</f>
        <v>17500</v>
      </c>
      <c r="CZ58">
        <f>AE58</f>
        <v>17500</v>
      </c>
      <c r="DA58">
        <f>AI58</f>
        <v>0</v>
      </c>
      <c r="DB58">
        <v>0</v>
      </c>
    </row>
    <row r="59" spans="1:106" x14ac:dyDescent="0.2">
      <c r="A59">
        <f>ROW(Source!A34)</f>
        <v>34</v>
      </c>
      <c r="B59">
        <v>27758530</v>
      </c>
      <c r="C59">
        <v>27758702</v>
      </c>
      <c r="D59">
        <v>15721368</v>
      </c>
      <c r="E59">
        <v>1</v>
      </c>
      <c r="F59">
        <v>1</v>
      </c>
      <c r="G59">
        <v>1</v>
      </c>
      <c r="H59">
        <v>3</v>
      </c>
      <c r="I59" t="s">
        <v>328</v>
      </c>
      <c r="J59" t="s">
        <v>329</v>
      </c>
      <c r="K59" t="s">
        <v>330</v>
      </c>
      <c r="L59">
        <v>1339</v>
      </c>
      <c r="N59">
        <v>1007</v>
      </c>
      <c r="O59" t="s">
        <v>34</v>
      </c>
      <c r="P59" t="s">
        <v>34</v>
      </c>
      <c r="Q59">
        <v>1</v>
      </c>
      <c r="W59">
        <v>0</v>
      </c>
      <c r="X59">
        <v>1759045525</v>
      </c>
      <c r="Y59">
        <v>9.6</v>
      </c>
      <c r="AA59">
        <v>0</v>
      </c>
      <c r="AB59">
        <v>0</v>
      </c>
      <c r="AC59">
        <v>0</v>
      </c>
      <c r="AD59">
        <v>0</v>
      </c>
      <c r="AE59">
        <v>0</v>
      </c>
      <c r="AF59">
        <f>' 8-гр. ЛС 1 (2)'!G139</f>
        <v>0</v>
      </c>
      <c r="AG59">
        <v>0</v>
      </c>
      <c r="AH59">
        <v>0</v>
      </c>
      <c r="AJ59">
        <v>1</v>
      </c>
      <c r="AK59">
        <f>ROUND(Y59*AF59,4)</f>
        <v>0</v>
      </c>
      <c r="AL59">
        <v>1</v>
      </c>
      <c r="AN59">
        <v>0</v>
      </c>
      <c r="AO59">
        <v>0</v>
      </c>
      <c r="AP59">
        <v>0</v>
      </c>
      <c r="AQ59">
        <v>1</v>
      </c>
      <c r="AR59">
        <v>0</v>
      </c>
      <c r="AS59" t="s">
        <v>3</v>
      </c>
      <c r="AT59">
        <v>9.6</v>
      </c>
      <c r="AU59" t="s">
        <v>3</v>
      </c>
      <c r="AV59">
        <v>0</v>
      </c>
      <c r="AW59">
        <v>2</v>
      </c>
      <c r="AX59">
        <v>27758720</v>
      </c>
      <c r="AY59">
        <v>1</v>
      </c>
      <c r="AZ59">
        <v>0</v>
      </c>
      <c r="BA59">
        <v>59</v>
      </c>
      <c r="BB59">
        <v>1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f>' 8-гр. ЛС 1 (2)'!G139*SmtRes!Y59</f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Y59*Source!I34</f>
        <v>0.48</v>
      </c>
      <c r="CY59">
        <f>AA59</f>
        <v>0</v>
      </c>
      <c r="CZ59">
        <f>AE59</f>
        <v>0</v>
      </c>
      <c r="DA59">
        <f>AI59</f>
        <v>0</v>
      </c>
      <c r="DB59">
        <v>0</v>
      </c>
    </row>
    <row r="60" spans="1:106" x14ac:dyDescent="0.2">
      <c r="A60">
        <f>ROW(Source!A37)</f>
        <v>37</v>
      </c>
      <c r="B60">
        <v>27758530</v>
      </c>
      <c r="C60">
        <v>27758723</v>
      </c>
      <c r="D60">
        <v>15711268</v>
      </c>
      <c r="E60">
        <v>1</v>
      </c>
      <c r="F60">
        <v>1</v>
      </c>
      <c r="G60">
        <v>1</v>
      </c>
      <c r="H60">
        <v>2</v>
      </c>
      <c r="I60" t="s">
        <v>283</v>
      </c>
      <c r="J60" t="s">
        <v>284</v>
      </c>
      <c r="K60" t="s">
        <v>285</v>
      </c>
      <c r="L60">
        <v>1368</v>
      </c>
      <c r="N60">
        <v>1011</v>
      </c>
      <c r="O60" t="s">
        <v>234</v>
      </c>
      <c r="P60" t="s">
        <v>234</v>
      </c>
      <c r="Q60">
        <v>1</v>
      </c>
      <c r="W60">
        <v>0</v>
      </c>
      <c r="X60">
        <v>-39731022</v>
      </c>
      <c r="Y60">
        <v>0.13300000000000001</v>
      </c>
      <c r="AA60">
        <v>0</v>
      </c>
      <c r="AB60">
        <v>19000</v>
      </c>
      <c r="AC60">
        <v>0</v>
      </c>
      <c r="AD60">
        <v>0</v>
      </c>
      <c r="AE60">
        <v>0</v>
      </c>
      <c r="AF60">
        <v>19000</v>
      </c>
      <c r="AG60">
        <f>' 8-гр. ЛС 1 (2)'!G148</f>
        <v>19000</v>
      </c>
      <c r="AH60">
        <f>ROUND(AC60,2)</f>
        <v>0</v>
      </c>
      <c r="AJ60">
        <v>1</v>
      </c>
      <c r="AK60">
        <f>ROUND(Y60*AG60,4)</f>
        <v>2527</v>
      </c>
      <c r="AL60">
        <v>1</v>
      </c>
      <c r="AN60">
        <v>0</v>
      </c>
      <c r="AO60">
        <v>0</v>
      </c>
      <c r="AP60">
        <v>0</v>
      </c>
      <c r="AQ60">
        <v>1</v>
      </c>
      <c r="AR60">
        <v>0</v>
      </c>
      <c r="AS60" t="s">
        <v>3</v>
      </c>
      <c r="AT60">
        <v>0.13300000000000001</v>
      </c>
      <c r="AU60" t="s">
        <v>3</v>
      </c>
      <c r="AV60">
        <v>0</v>
      </c>
      <c r="AW60">
        <v>2</v>
      </c>
      <c r="AX60">
        <v>27758725</v>
      </c>
      <c r="AY60">
        <v>2</v>
      </c>
      <c r="AZ60">
        <v>32768</v>
      </c>
      <c r="BA60">
        <v>60</v>
      </c>
      <c r="BB60">
        <v>1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2527</v>
      </c>
      <c r="BL60">
        <v>0</v>
      </c>
      <c r="BM60">
        <v>0</v>
      </c>
      <c r="BN60">
        <v>0</v>
      </c>
      <c r="BO60">
        <v>0</v>
      </c>
      <c r="BP60">
        <v>1</v>
      </c>
      <c r="BQ60">
        <v>0</v>
      </c>
      <c r="BR60">
        <f>' 8-гр. ЛС 1 (2)'!G148*SmtRes!Y60</f>
        <v>2527</v>
      </c>
      <c r="BS60">
        <v>0</v>
      </c>
      <c r="BT60">
        <v>0</v>
      </c>
      <c r="BU60">
        <v>0</v>
      </c>
      <c r="BV60">
        <v>0</v>
      </c>
      <c r="BW60">
        <v>1</v>
      </c>
      <c r="CX60">
        <f>Y60*Source!I37</f>
        <v>0.79800000000000004</v>
      </c>
      <c r="CY60">
        <f>AB60</f>
        <v>19000</v>
      </c>
      <c r="CZ60">
        <f>AF60</f>
        <v>19000</v>
      </c>
      <c r="DA60">
        <f>AJ60</f>
        <v>1</v>
      </c>
      <c r="DB60">
        <v>0</v>
      </c>
    </row>
    <row r="61" spans="1:106" x14ac:dyDescent="0.2">
      <c r="A61">
        <f>ROW(Source!A38)</f>
        <v>38</v>
      </c>
      <c r="B61">
        <v>27758530</v>
      </c>
      <c r="C61">
        <v>27758726</v>
      </c>
      <c r="D61">
        <v>15711268</v>
      </c>
      <c r="E61">
        <v>1</v>
      </c>
      <c r="F61">
        <v>1</v>
      </c>
      <c r="G61">
        <v>1</v>
      </c>
      <c r="H61">
        <v>2</v>
      </c>
      <c r="I61" t="s">
        <v>283</v>
      </c>
      <c r="J61" t="s">
        <v>284</v>
      </c>
      <c r="K61" t="s">
        <v>285</v>
      </c>
      <c r="L61">
        <v>1368</v>
      </c>
      <c r="N61">
        <v>1011</v>
      </c>
      <c r="O61" t="s">
        <v>234</v>
      </c>
      <c r="P61" t="s">
        <v>234</v>
      </c>
      <c r="Q61">
        <v>1</v>
      </c>
      <c r="W61">
        <v>0</v>
      </c>
      <c r="X61">
        <v>-39731022</v>
      </c>
      <c r="Y61">
        <v>0.13300000000000001</v>
      </c>
      <c r="AA61">
        <v>0</v>
      </c>
      <c r="AB61">
        <v>19000</v>
      </c>
      <c r="AC61">
        <v>0</v>
      </c>
      <c r="AD61">
        <v>0</v>
      </c>
      <c r="AE61">
        <v>0</v>
      </c>
      <c r="AF61">
        <v>19000</v>
      </c>
      <c r="AG61">
        <f>' 8-гр. ЛС 1 (2)'!G155</f>
        <v>19000</v>
      </c>
      <c r="AH61">
        <f>ROUND(AC61,2)</f>
        <v>0</v>
      </c>
      <c r="AJ61">
        <v>1</v>
      </c>
      <c r="AK61">
        <f>ROUND(Y61*AG61,4)</f>
        <v>2527</v>
      </c>
      <c r="AL61">
        <v>1</v>
      </c>
      <c r="AN61">
        <v>0</v>
      </c>
      <c r="AO61">
        <v>0</v>
      </c>
      <c r="AP61">
        <v>0</v>
      </c>
      <c r="AQ61">
        <v>1</v>
      </c>
      <c r="AR61">
        <v>0</v>
      </c>
      <c r="AS61" t="s">
        <v>3</v>
      </c>
      <c r="AT61">
        <v>0.13300000000000001</v>
      </c>
      <c r="AU61" t="s">
        <v>3</v>
      </c>
      <c r="AV61">
        <v>0</v>
      </c>
      <c r="AW61">
        <v>2</v>
      </c>
      <c r="AX61">
        <v>27758728</v>
      </c>
      <c r="AY61">
        <v>2</v>
      </c>
      <c r="AZ61">
        <v>32768</v>
      </c>
      <c r="BA61">
        <v>61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2527</v>
      </c>
      <c r="BL61">
        <v>0</v>
      </c>
      <c r="BM61">
        <v>0</v>
      </c>
      <c r="BN61">
        <v>0</v>
      </c>
      <c r="BO61">
        <v>0</v>
      </c>
      <c r="BP61">
        <v>1</v>
      </c>
      <c r="BQ61">
        <v>0</v>
      </c>
      <c r="BR61">
        <f>' 8-гр. ЛС 1 (2)'!G155*SmtRes!Y61</f>
        <v>2527</v>
      </c>
      <c r="BS61">
        <v>0</v>
      </c>
      <c r="BT61">
        <v>0</v>
      </c>
      <c r="BU61">
        <v>0</v>
      </c>
      <c r="BV61">
        <v>0</v>
      </c>
      <c r="BW61">
        <v>1</v>
      </c>
      <c r="CX61">
        <f>Y61*Source!I38</f>
        <v>1.7290000000000001</v>
      </c>
      <c r="CY61">
        <f>AB61</f>
        <v>19000</v>
      </c>
      <c r="CZ61">
        <f>AF61</f>
        <v>19000</v>
      </c>
      <c r="DA61">
        <f>AJ61</f>
        <v>1</v>
      </c>
      <c r="DB61">
        <v>0</v>
      </c>
    </row>
    <row r="62" spans="1:106" x14ac:dyDescent="0.2">
      <c r="A62">
        <f>ROW(Source!A39)</f>
        <v>39</v>
      </c>
      <c r="B62">
        <v>27758530</v>
      </c>
      <c r="C62">
        <v>27758729</v>
      </c>
      <c r="D62">
        <v>15711268</v>
      </c>
      <c r="E62">
        <v>1</v>
      </c>
      <c r="F62">
        <v>1</v>
      </c>
      <c r="G62">
        <v>1</v>
      </c>
      <c r="H62">
        <v>2</v>
      </c>
      <c r="I62" t="s">
        <v>283</v>
      </c>
      <c r="J62" t="s">
        <v>284</v>
      </c>
      <c r="K62" t="s">
        <v>285</v>
      </c>
      <c r="L62">
        <v>1368</v>
      </c>
      <c r="N62">
        <v>1011</v>
      </c>
      <c r="O62" t="s">
        <v>234</v>
      </c>
      <c r="P62" t="s">
        <v>234</v>
      </c>
      <c r="Q62">
        <v>1</v>
      </c>
      <c r="W62">
        <v>0</v>
      </c>
      <c r="X62">
        <v>-39731022</v>
      </c>
      <c r="Y62">
        <v>0.13300000000000001</v>
      </c>
      <c r="AA62">
        <v>0</v>
      </c>
      <c r="AB62">
        <v>19000</v>
      </c>
      <c r="AC62">
        <v>0</v>
      </c>
      <c r="AD62">
        <v>0</v>
      </c>
      <c r="AE62">
        <v>0</v>
      </c>
      <c r="AF62">
        <v>19000</v>
      </c>
      <c r="AG62">
        <f>' 8-гр. ЛС 1 (2)'!G162</f>
        <v>19000</v>
      </c>
      <c r="AH62">
        <f>ROUND(AC62,2)</f>
        <v>0</v>
      </c>
      <c r="AJ62">
        <v>1</v>
      </c>
      <c r="AK62">
        <f>ROUND(Y62*AG62,4)</f>
        <v>2527</v>
      </c>
      <c r="AL62">
        <v>1</v>
      </c>
      <c r="AN62">
        <v>0</v>
      </c>
      <c r="AO62">
        <v>0</v>
      </c>
      <c r="AP62">
        <v>0</v>
      </c>
      <c r="AQ62">
        <v>1</v>
      </c>
      <c r="AR62">
        <v>0</v>
      </c>
      <c r="AS62" t="s">
        <v>3</v>
      </c>
      <c r="AT62">
        <v>0.13300000000000001</v>
      </c>
      <c r="AU62" t="s">
        <v>3</v>
      </c>
      <c r="AV62">
        <v>0</v>
      </c>
      <c r="AW62">
        <v>2</v>
      </c>
      <c r="AX62">
        <v>27758731</v>
      </c>
      <c r="AY62">
        <v>2</v>
      </c>
      <c r="AZ62">
        <v>32768</v>
      </c>
      <c r="BA62">
        <v>62</v>
      </c>
      <c r="BB62">
        <v>1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2527</v>
      </c>
      <c r="BL62">
        <v>0</v>
      </c>
      <c r="BM62">
        <v>0</v>
      </c>
      <c r="BN62">
        <v>0</v>
      </c>
      <c r="BO62">
        <v>0</v>
      </c>
      <c r="BP62">
        <v>1</v>
      </c>
      <c r="BQ62">
        <v>0</v>
      </c>
      <c r="BR62">
        <f>' 8-гр. ЛС 1 (2)'!G162*SmtRes!Y62</f>
        <v>2527</v>
      </c>
      <c r="BS62">
        <v>0</v>
      </c>
      <c r="BT62">
        <v>0</v>
      </c>
      <c r="BU62">
        <v>0</v>
      </c>
      <c r="BV62">
        <v>0</v>
      </c>
      <c r="BW62">
        <v>1</v>
      </c>
      <c r="CX62">
        <f>Y62*Source!I39</f>
        <v>0.53200000000000003</v>
      </c>
      <c r="CY62">
        <f>AB62</f>
        <v>19000</v>
      </c>
      <c r="CZ62">
        <f>AF62</f>
        <v>19000</v>
      </c>
      <c r="DA62">
        <f>AJ62</f>
        <v>1</v>
      </c>
      <c r="DB6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27758606</v>
      </c>
      <c r="C1">
        <v>27758592</v>
      </c>
      <c r="D1">
        <v>9255446</v>
      </c>
      <c r="E1">
        <v>1</v>
      </c>
      <c r="F1">
        <v>1</v>
      </c>
      <c r="G1">
        <v>1</v>
      </c>
      <c r="H1">
        <v>1</v>
      </c>
      <c r="I1" t="s">
        <v>226</v>
      </c>
      <c r="J1" t="s">
        <v>3</v>
      </c>
      <c r="K1" t="s">
        <v>227</v>
      </c>
      <c r="L1">
        <v>1369</v>
      </c>
      <c r="N1">
        <v>1013</v>
      </c>
      <c r="O1" t="s">
        <v>228</v>
      </c>
      <c r="P1" t="s">
        <v>228</v>
      </c>
      <c r="Q1">
        <v>1</v>
      </c>
      <c r="X1">
        <v>4.6900000000000004</v>
      </c>
      <c r="Y1">
        <v>0</v>
      </c>
      <c r="Z1">
        <v>0</v>
      </c>
      <c r="AA1">
        <v>0</v>
      </c>
      <c r="AB1">
        <v>193.32</v>
      </c>
      <c r="AC1">
        <v>0</v>
      </c>
      <c r="AD1">
        <v>1</v>
      </c>
      <c r="AE1">
        <v>1</v>
      </c>
      <c r="AF1" t="s">
        <v>3</v>
      </c>
      <c r="AG1">
        <v>4.6900000000000004</v>
      </c>
      <c r="AH1">
        <v>2</v>
      </c>
      <c r="AI1">
        <v>27758593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27758607</v>
      </c>
      <c r="C2">
        <v>27758592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24</v>
      </c>
      <c r="J2" t="s">
        <v>3</v>
      </c>
      <c r="K2" t="s">
        <v>229</v>
      </c>
      <c r="L2">
        <v>608254</v>
      </c>
      <c r="N2">
        <v>1013</v>
      </c>
      <c r="O2" t="s">
        <v>230</v>
      </c>
      <c r="P2" t="s">
        <v>230</v>
      </c>
      <c r="Q2">
        <v>1</v>
      </c>
      <c r="X2">
        <v>2.4900000000000002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2.4900000000000002</v>
      </c>
      <c r="AH2">
        <v>2</v>
      </c>
      <c r="AI2">
        <v>27758594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27758608</v>
      </c>
      <c r="C3">
        <v>27758592</v>
      </c>
      <c r="D3">
        <v>15709293</v>
      </c>
      <c r="E3">
        <v>1</v>
      </c>
      <c r="F3">
        <v>1</v>
      </c>
      <c r="G3">
        <v>1</v>
      </c>
      <c r="H3">
        <v>2</v>
      </c>
      <c r="I3" t="s">
        <v>231</v>
      </c>
      <c r="J3" t="s">
        <v>232</v>
      </c>
      <c r="K3" t="s">
        <v>233</v>
      </c>
      <c r="L3">
        <v>1368</v>
      </c>
      <c r="N3">
        <v>1011</v>
      </c>
      <c r="O3" t="s">
        <v>234</v>
      </c>
      <c r="P3" t="s">
        <v>234</v>
      </c>
      <c r="Q3">
        <v>1</v>
      </c>
      <c r="X3">
        <v>0.03</v>
      </c>
      <c r="Y3">
        <v>0</v>
      </c>
      <c r="Z3">
        <v>661.15</v>
      </c>
      <c r="AA3">
        <v>274.41000000000003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0.03</v>
      </c>
      <c r="AH3">
        <v>2</v>
      </c>
      <c r="AI3">
        <v>27758595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27758609</v>
      </c>
      <c r="C4">
        <v>27758592</v>
      </c>
      <c r="D4">
        <v>15710133</v>
      </c>
      <c r="E4">
        <v>1</v>
      </c>
      <c r="F4">
        <v>1</v>
      </c>
      <c r="G4">
        <v>1</v>
      </c>
      <c r="H4">
        <v>2</v>
      </c>
      <c r="I4" t="s">
        <v>235</v>
      </c>
      <c r="J4" t="s">
        <v>236</v>
      </c>
      <c r="K4" t="s">
        <v>237</v>
      </c>
      <c r="L4">
        <v>1368</v>
      </c>
      <c r="N4">
        <v>1011</v>
      </c>
      <c r="O4" t="s">
        <v>234</v>
      </c>
      <c r="P4" t="s">
        <v>234</v>
      </c>
      <c r="Q4">
        <v>1</v>
      </c>
      <c r="X4">
        <v>1.97</v>
      </c>
      <c r="Y4">
        <v>0</v>
      </c>
      <c r="Z4">
        <v>1140.3900000000001</v>
      </c>
      <c r="AA4">
        <v>334.22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1.97</v>
      </c>
      <c r="AH4">
        <v>2</v>
      </c>
      <c r="AI4">
        <v>27758596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27758610</v>
      </c>
      <c r="C5">
        <v>27758592</v>
      </c>
      <c r="D5">
        <v>15710150</v>
      </c>
      <c r="E5">
        <v>1</v>
      </c>
      <c r="F5">
        <v>1</v>
      </c>
      <c r="G5">
        <v>1</v>
      </c>
      <c r="H5">
        <v>2</v>
      </c>
      <c r="I5" t="s">
        <v>238</v>
      </c>
      <c r="J5" t="s">
        <v>239</v>
      </c>
      <c r="K5" t="s">
        <v>240</v>
      </c>
      <c r="L5">
        <v>1368</v>
      </c>
      <c r="N5">
        <v>1011</v>
      </c>
      <c r="O5" t="s">
        <v>234</v>
      </c>
      <c r="P5" t="s">
        <v>234</v>
      </c>
      <c r="Q5">
        <v>1</v>
      </c>
      <c r="X5">
        <v>1.97</v>
      </c>
      <c r="Y5">
        <v>0</v>
      </c>
      <c r="Z5">
        <v>501.83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1.97</v>
      </c>
      <c r="AH5">
        <v>2</v>
      </c>
      <c r="AI5">
        <v>27758597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27758611</v>
      </c>
      <c r="C6">
        <v>27758592</v>
      </c>
      <c r="D6">
        <v>15710198</v>
      </c>
      <c r="E6">
        <v>1</v>
      </c>
      <c r="F6">
        <v>1</v>
      </c>
      <c r="G6">
        <v>1</v>
      </c>
      <c r="H6">
        <v>2</v>
      </c>
      <c r="I6" t="s">
        <v>241</v>
      </c>
      <c r="J6" t="s">
        <v>242</v>
      </c>
      <c r="K6" t="s">
        <v>243</v>
      </c>
      <c r="L6">
        <v>1368</v>
      </c>
      <c r="N6">
        <v>1011</v>
      </c>
      <c r="O6" t="s">
        <v>234</v>
      </c>
      <c r="P6" t="s">
        <v>234</v>
      </c>
      <c r="Q6">
        <v>1</v>
      </c>
      <c r="X6">
        <v>0.49</v>
      </c>
      <c r="Y6">
        <v>0</v>
      </c>
      <c r="Z6">
        <v>1262.02</v>
      </c>
      <c r="AA6">
        <v>292.73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0.49</v>
      </c>
      <c r="AH6">
        <v>2</v>
      </c>
      <c r="AI6">
        <v>27758598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27758612</v>
      </c>
      <c r="C7">
        <v>27758592</v>
      </c>
      <c r="D7">
        <v>15711276</v>
      </c>
      <c r="E7">
        <v>1</v>
      </c>
      <c r="F7">
        <v>1</v>
      </c>
      <c r="G7">
        <v>1</v>
      </c>
      <c r="H7">
        <v>2</v>
      </c>
      <c r="I7" t="s">
        <v>244</v>
      </c>
      <c r="J7" t="s">
        <v>245</v>
      </c>
      <c r="K7" t="s">
        <v>246</v>
      </c>
      <c r="L7">
        <v>1368</v>
      </c>
      <c r="N7">
        <v>1011</v>
      </c>
      <c r="O7" t="s">
        <v>234</v>
      </c>
      <c r="P7" t="s">
        <v>234</v>
      </c>
      <c r="Q7">
        <v>1</v>
      </c>
      <c r="X7">
        <v>0.05</v>
      </c>
      <c r="Y7">
        <v>0</v>
      </c>
      <c r="Z7">
        <v>1234.8800000000001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0.05</v>
      </c>
      <c r="AH7">
        <v>2</v>
      </c>
      <c r="AI7">
        <v>27758599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27758613</v>
      </c>
      <c r="C8">
        <v>27758592</v>
      </c>
      <c r="D8">
        <v>15711279</v>
      </c>
      <c r="E8">
        <v>1</v>
      </c>
      <c r="F8">
        <v>1</v>
      </c>
      <c r="G8">
        <v>1</v>
      </c>
      <c r="H8">
        <v>2</v>
      </c>
      <c r="I8" t="s">
        <v>247</v>
      </c>
      <c r="J8" t="s">
        <v>248</v>
      </c>
      <c r="K8" t="s">
        <v>249</v>
      </c>
      <c r="L8">
        <v>1368</v>
      </c>
      <c r="N8">
        <v>1011</v>
      </c>
      <c r="O8" t="s">
        <v>234</v>
      </c>
      <c r="P8" t="s">
        <v>234</v>
      </c>
      <c r="Q8">
        <v>1</v>
      </c>
      <c r="X8">
        <v>0.05</v>
      </c>
      <c r="Y8">
        <v>0</v>
      </c>
      <c r="Z8">
        <v>124.54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0.05</v>
      </c>
      <c r="AH8">
        <v>2</v>
      </c>
      <c r="AI8">
        <v>27758600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27758614</v>
      </c>
      <c r="C9">
        <v>27758592</v>
      </c>
      <c r="D9">
        <v>15732597</v>
      </c>
      <c r="E9">
        <v>1</v>
      </c>
      <c r="F9">
        <v>1</v>
      </c>
      <c r="G9">
        <v>1</v>
      </c>
      <c r="H9">
        <v>3</v>
      </c>
      <c r="I9" t="s">
        <v>250</v>
      </c>
      <c r="J9" t="s">
        <v>251</v>
      </c>
      <c r="K9" t="s">
        <v>252</v>
      </c>
      <c r="L9">
        <v>1348</v>
      </c>
      <c r="N9">
        <v>1009</v>
      </c>
      <c r="O9" t="s">
        <v>61</v>
      </c>
      <c r="P9" t="s">
        <v>61</v>
      </c>
      <c r="Q9">
        <v>1000</v>
      </c>
      <c r="X9">
        <v>2.0000000000000002E-5</v>
      </c>
      <c r="Y9">
        <v>53424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2.0000000000000002E-5</v>
      </c>
      <c r="AH9">
        <v>2</v>
      </c>
      <c r="AI9">
        <v>27758601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27758615</v>
      </c>
      <c r="C10">
        <v>27758592</v>
      </c>
      <c r="D10">
        <v>15736847</v>
      </c>
      <c r="E10">
        <v>1</v>
      </c>
      <c r="F10">
        <v>1</v>
      </c>
      <c r="G10">
        <v>1</v>
      </c>
      <c r="H10">
        <v>3</v>
      </c>
      <c r="I10" t="s">
        <v>59</v>
      </c>
      <c r="J10" t="s">
        <v>62</v>
      </c>
      <c r="K10" t="s">
        <v>253</v>
      </c>
      <c r="L10">
        <v>1348</v>
      </c>
      <c r="N10">
        <v>1009</v>
      </c>
      <c r="O10" t="s">
        <v>61</v>
      </c>
      <c r="P10" t="s">
        <v>61</v>
      </c>
      <c r="Q10">
        <v>1000</v>
      </c>
      <c r="X10">
        <v>8.0000000000000007E-5</v>
      </c>
      <c r="Y10">
        <v>67818.78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8.0000000000000007E-5</v>
      </c>
      <c r="AH10">
        <v>2</v>
      </c>
      <c r="AI10">
        <v>27758602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ROW(Source!A24)</f>
        <v>24</v>
      </c>
      <c r="B11">
        <v>27758616</v>
      </c>
      <c r="C11">
        <v>27758592</v>
      </c>
      <c r="D11">
        <v>15738096</v>
      </c>
      <c r="E11">
        <v>1</v>
      </c>
      <c r="F11">
        <v>1</v>
      </c>
      <c r="G11">
        <v>1</v>
      </c>
      <c r="H11">
        <v>3</v>
      </c>
      <c r="I11" t="s">
        <v>254</v>
      </c>
      <c r="J11" t="s">
        <v>255</v>
      </c>
      <c r="K11" t="s">
        <v>256</v>
      </c>
      <c r="L11">
        <v>1339</v>
      </c>
      <c r="N11">
        <v>1007</v>
      </c>
      <c r="O11" t="s">
        <v>34</v>
      </c>
      <c r="P11" t="s">
        <v>34</v>
      </c>
      <c r="Q11">
        <v>1</v>
      </c>
      <c r="X11">
        <v>6.0000000000000001E-3</v>
      </c>
      <c r="Y11">
        <v>23627.119999999999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6.0000000000000001E-3</v>
      </c>
      <c r="AH11">
        <v>2</v>
      </c>
      <c r="AI11">
        <v>27758603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ROW(Source!A24)</f>
        <v>24</v>
      </c>
      <c r="B12">
        <v>27758617</v>
      </c>
      <c r="C12">
        <v>27758592</v>
      </c>
      <c r="D12">
        <v>15725312</v>
      </c>
      <c r="E12">
        <v>1</v>
      </c>
      <c r="F12">
        <v>1</v>
      </c>
      <c r="G12">
        <v>1</v>
      </c>
      <c r="H12">
        <v>3</v>
      </c>
      <c r="I12" t="s">
        <v>257</v>
      </c>
      <c r="J12" t="s">
        <v>258</v>
      </c>
      <c r="K12" t="s">
        <v>259</v>
      </c>
      <c r="L12">
        <v>1348</v>
      </c>
      <c r="N12">
        <v>1009</v>
      </c>
      <c r="O12" t="s">
        <v>61</v>
      </c>
      <c r="P12" t="s">
        <v>61</v>
      </c>
      <c r="Q12">
        <v>1000</v>
      </c>
      <c r="X12">
        <v>8.0000000000000007E-5</v>
      </c>
      <c r="Y12">
        <v>76872.5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8.0000000000000007E-5</v>
      </c>
      <c r="AH12">
        <v>2</v>
      </c>
      <c r="AI12">
        <v>27758604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ROW(Source!A24)</f>
        <v>24</v>
      </c>
      <c r="B13">
        <v>27758618</v>
      </c>
      <c r="C13">
        <v>27758592</v>
      </c>
      <c r="D13">
        <v>15719512</v>
      </c>
      <c r="E13">
        <v>1</v>
      </c>
      <c r="F13">
        <v>1</v>
      </c>
      <c r="G13">
        <v>1</v>
      </c>
      <c r="H13">
        <v>3</v>
      </c>
      <c r="I13" t="s">
        <v>260</v>
      </c>
      <c r="J13" t="s">
        <v>261</v>
      </c>
      <c r="K13" t="s">
        <v>262</v>
      </c>
      <c r="L13">
        <v>1339</v>
      </c>
      <c r="N13">
        <v>1007</v>
      </c>
      <c r="O13" t="s">
        <v>34</v>
      </c>
      <c r="P13" t="s">
        <v>34</v>
      </c>
      <c r="Q13">
        <v>1</v>
      </c>
      <c r="X13">
        <v>1.03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3</v>
      </c>
      <c r="AG13">
        <v>1.03</v>
      </c>
      <c r="AH13">
        <v>2</v>
      </c>
      <c r="AI13">
        <v>27758605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27758628</v>
      </c>
      <c r="C14">
        <v>27758619</v>
      </c>
      <c r="D14">
        <v>9254625</v>
      </c>
      <c r="E14">
        <v>1</v>
      </c>
      <c r="F14">
        <v>1</v>
      </c>
      <c r="G14">
        <v>1</v>
      </c>
      <c r="H14">
        <v>1</v>
      </c>
      <c r="I14" t="s">
        <v>263</v>
      </c>
      <c r="J14" t="s">
        <v>3</v>
      </c>
      <c r="K14" t="s">
        <v>264</v>
      </c>
      <c r="L14">
        <v>1369</v>
      </c>
      <c r="N14">
        <v>1013</v>
      </c>
      <c r="O14" t="s">
        <v>228</v>
      </c>
      <c r="P14" t="s">
        <v>228</v>
      </c>
      <c r="Q14">
        <v>1</v>
      </c>
      <c r="X14">
        <v>180</v>
      </c>
      <c r="Y14">
        <v>0</v>
      </c>
      <c r="Z14">
        <v>0</v>
      </c>
      <c r="AA14">
        <v>0</v>
      </c>
      <c r="AB14">
        <v>158.54</v>
      </c>
      <c r="AC14">
        <v>0</v>
      </c>
      <c r="AD14">
        <v>1</v>
      </c>
      <c r="AE14">
        <v>1</v>
      </c>
      <c r="AF14" t="s">
        <v>3</v>
      </c>
      <c r="AG14">
        <v>180</v>
      </c>
      <c r="AH14">
        <v>2</v>
      </c>
      <c r="AI14">
        <v>27758620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27758629</v>
      </c>
      <c r="C15">
        <v>27758619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24</v>
      </c>
      <c r="J15" t="s">
        <v>3</v>
      </c>
      <c r="K15" t="s">
        <v>229</v>
      </c>
      <c r="L15">
        <v>608254</v>
      </c>
      <c r="N15">
        <v>1013</v>
      </c>
      <c r="O15" t="s">
        <v>230</v>
      </c>
      <c r="P15" t="s">
        <v>230</v>
      </c>
      <c r="Q15">
        <v>1</v>
      </c>
      <c r="X15">
        <v>18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3</v>
      </c>
      <c r="AG15">
        <v>18</v>
      </c>
      <c r="AH15">
        <v>2</v>
      </c>
      <c r="AI15">
        <v>27758621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27758630</v>
      </c>
      <c r="C16">
        <v>27758619</v>
      </c>
      <c r="D16">
        <v>15709189</v>
      </c>
      <c r="E16">
        <v>1</v>
      </c>
      <c r="F16">
        <v>1</v>
      </c>
      <c r="G16">
        <v>1</v>
      </c>
      <c r="H16">
        <v>2</v>
      </c>
      <c r="I16" t="s">
        <v>265</v>
      </c>
      <c r="J16" t="s">
        <v>266</v>
      </c>
      <c r="K16" t="s">
        <v>267</v>
      </c>
      <c r="L16">
        <v>1368</v>
      </c>
      <c r="N16">
        <v>1011</v>
      </c>
      <c r="O16" t="s">
        <v>234</v>
      </c>
      <c r="P16" t="s">
        <v>234</v>
      </c>
      <c r="Q16">
        <v>1</v>
      </c>
      <c r="X16">
        <v>18</v>
      </c>
      <c r="Y16">
        <v>0</v>
      </c>
      <c r="Z16">
        <v>513.19000000000005</v>
      </c>
      <c r="AA16">
        <v>274.41000000000003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18</v>
      </c>
      <c r="AH16">
        <v>2</v>
      </c>
      <c r="AI16">
        <v>27758622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27758631</v>
      </c>
      <c r="C17">
        <v>27758619</v>
      </c>
      <c r="D17">
        <v>15709829</v>
      </c>
      <c r="E17">
        <v>1</v>
      </c>
      <c r="F17">
        <v>1</v>
      </c>
      <c r="G17">
        <v>1</v>
      </c>
      <c r="H17">
        <v>2</v>
      </c>
      <c r="I17" t="s">
        <v>268</v>
      </c>
      <c r="J17" t="s">
        <v>269</v>
      </c>
      <c r="K17" t="s">
        <v>270</v>
      </c>
      <c r="L17">
        <v>1368</v>
      </c>
      <c r="N17">
        <v>1011</v>
      </c>
      <c r="O17" t="s">
        <v>234</v>
      </c>
      <c r="P17" t="s">
        <v>234</v>
      </c>
      <c r="Q17">
        <v>1</v>
      </c>
      <c r="X17">
        <v>48</v>
      </c>
      <c r="Y17">
        <v>0</v>
      </c>
      <c r="Z17">
        <v>2.38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48</v>
      </c>
      <c r="AH17">
        <v>2</v>
      </c>
      <c r="AI17">
        <v>27758623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27758632</v>
      </c>
      <c r="C18">
        <v>27758619</v>
      </c>
      <c r="D18">
        <v>15711260</v>
      </c>
      <c r="E18">
        <v>1</v>
      </c>
      <c r="F18">
        <v>1</v>
      </c>
      <c r="G18">
        <v>1</v>
      </c>
      <c r="H18">
        <v>2</v>
      </c>
      <c r="I18" t="s">
        <v>271</v>
      </c>
      <c r="J18" t="s">
        <v>272</v>
      </c>
      <c r="K18" t="s">
        <v>273</v>
      </c>
      <c r="L18">
        <v>1368</v>
      </c>
      <c r="N18">
        <v>1011</v>
      </c>
      <c r="O18" t="s">
        <v>234</v>
      </c>
      <c r="P18" t="s">
        <v>234</v>
      </c>
      <c r="Q18">
        <v>1</v>
      </c>
      <c r="X18">
        <v>0.13</v>
      </c>
      <c r="Y18">
        <v>0</v>
      </c>
      <c r="Z18">
        <v>822.45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0.13</v>
      </c>
      <c r="AH18">
        <v>2</v>
      </c>
      <c r="AI18">
        <v>27758624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27758633</v>
      </c>
      <c r="C19">
        <v>27758619</v>
      </c>
      <c r="D19">
        <v>15730378</v>
      </c>
      <c r="E19">
        <v>1</v>
      </c>
      <c r="F19">
        <v>1</v>
      </c>
      <c r="G19">
        <v>1</v>
      </c>
      <c r="H19">
        <v>3</v>
      </c>
      <c r="I19" t="s">
        <v>274</v>
      </c>
      <c r="J19" t="s">
        <v>275</v>
      </c>
      <c r="K19" t="s">
        <v>276</v>
      </c>
      <c r="L19">
        <v>1327</v>
      </c>
      <c r="N19">
        <v>1005</v>
      </c>
      <c r="O19" t="s">
        <v>73</v>
      </c>
      <c r="P19" t="s">
        <v>73</v>
      </c>
      <c r="Q19">
        <v>1</v>
      </c>
      <c r="X19">
        <v>250</v>
      </c>
      <c r="Y19">
        <v>49.24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250</v>
      </c>
      <c r="AH19">
        <v>2</v>
      </c>
      <c r="AI19">
        <v>27758625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27758634</v>
      </c>
      <c r="C20">
        <v>27758619</v>
      </c>
      <c r="D20">
        <v>15711866</v>
      </c>
      <c r="E20">
        <v>1</v>
      </c>
      <c r="F20">
        <v>1</v>
      </c>
      <c r="G20">
        <v>1</v>
      </c>
      <c r="H20">
        <v>3</v>
      </c>
      <c r="I20" t="s">
        <v>277</v>
      </c>
      <c r="J20" t="s">
        <v>278</v>
      </c>
      <c r="K20" t="s">
        <v>279</v>
      </c>
      <c r="L20">
        <v>1339</v>
      </c>
      <c r="N20">
        <v>1007</v>
      </c>
      <c r="O20" t="s">
        <v>34</v>
      </c>
      <c r="P20" t="s">
        <v>34</v>
      </c>
      <c r="Q20">
        <v>1</v>
      </c>
      <c r="X20">
        <v>102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 t="s">
        <v>3</v>
      </c>
      <c r="AG20">
        <v>102</v>
      </c>
      <c r="AH20">
        <v>2</v>
      </c>
      <c r="AI20">
        <v>27758626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ROW(Source!A25)</f>
        <v>25</v>
      </c>
      <c r="B21">
        <v>27758635</v>
      </c>
      <c r="C21">
        <v>27758619</v>
      </c>
      <c r="D21">
        <v>15721795</v>
      </c>
      <c r="E21">
        <v>1</v>
      </c>
      <c r="F21">
        <v>1</v>
      </c>
      <c r="G21">
        <v>1</v>
      </c>
      <c r="H21">
        <v>3</v>
      </c>
      <c r="I21" t="s">
        <v>280</v>
      </c>
      <c r="J21" t="s">
        <v>281</v>
      </c>
      <c r="K21" t="s">
        <v>282</v>
      </c>
      <c r="L21">
        <v>1339</v>
      </c>
      <c r="N21">
        <v>1007</v>
      </c>
      <c r="O21" t="s">
        <v>34</v>
      </c>
      <c r="P21" t="s">
        <v>34</v>
      </c>
      <c r="Q21">
        <v>1</v>
      </c>
      <c r="X21">
        <v>0.2</v>
      </c>
      <c r="Y21">
        <v>18.29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0.2</v>
      </c>
      <c r="AH21">
        <v>2</v>
      </c>
      <c r="AI21">
        <v>27758627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ROW(Source!A27)</f>
        <v>27</v>
      </c>
      <c r="B22">
        <v>27758646</v>
      </c>
      <c r="C22">
        <v>27758637</v>
      </c>
      <c r="D22">
        <v>9254625</v>
      </c>
      <c r="E22">
        <v>1</v>
      </c>
      <c r="F22">
        <v>1</v>
      </c>
      <c r="G22">
        <v>1</v>
      </c>
      <c r="H22">
        <v>1</v>
      </c>
      <c r="I22" t="s">
        <v>263</v>
      </c>
      <c r="J22" t="s">
        <v>3</v>
      </c>
      <c r="K22" t="s">
        <v>264</v>
      </c>
      <c r="L22">
        <v>1369</v>
      </c>
      <c r="N22">
        <v>1013</v>
      </c>
      <c r="O22" t="s">
        <v>228</v>
      </c>
      <c r="P22" t="s">
        <v>228</v>
      </c>
      <c r="Q22">
        <v>1</v>
      </c>
      <c r="X22">
        <v>180</v>
      </c>
      <c r="Y22">
        <v>0</v>
      </c>
      <c r="Z22">
        <v>0</v>
      </c>
      <c r="AA22">
        <v>0</v>
      </c>
      <c r="AB22">
        <v>158.54</v>
      </c>
      <c r="AC22">
        <v>0</v>
      </c>
      <c r="AD22">
        <v>1</v>
      </c>
      <c r="AE22">
        <v>1</v>
      </c>
      <c r="AF22" t="s">
        <v>3</v>
      </c>
      <c r="AG22">
        <v>180</v>
      </c>
      <c r="AH22">
        <v>2</v>
      </c>
      <c r="AI22">
        <v>27758638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ROW(Source!A27)</f>
        <v>27</v>
      </c>
      <c r="B23">
        <v>27758647</v>
      </c>
      <c r="C23">
        <v>27758637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24</v>
      </c>
      <c r="J23" t="s">
        <v>3</v>
      </c>
      <c r="K23" t="s">
        <v>229</v>
      </c>
      <c r="L23">
        <v>608254</v>
      </c>
      <c r="N23">
        <v>1013</v>
      </c>
      <c r="O23" t="s">
        <v>230</v>
      </c>
      <c r="P23" t="s">
        <v>230</v>
      </c>
      <c r="Q23">
        <v>1</v>
      </c>
      <c r="X23">
        <v>18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3</v>
      </c>
      <c r="AG23">
        <v>18</v>
      </c>
      <c r="AH23">
        <v>2</v>
      </c>
      <c r="AI23">
        <v>27758639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ROW(Source!A27)</f>
        <v>27</v>
      </c>
      <c r="B24">
        <v>27758648</v>
      </c>
      <c r="C24">
        <v>27758637</v>
      </c>
      <c r="D24">
        <v>15709189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234</v>
      </c>
      <c r="P24" t="s">
        <v>234</v>
      </c>
      <c r="Q24">
        <v>1</v>
      </c>
      <c r="X24">
        <v>18</v>
      </c>
      <c r="Y24">
        <v>0</v>
      </c>
      <c r="Z24">
        <v>513.19000000000005</v>
      </c>
      <c r="AA24">
        <v>274.41000000000003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18</v>
      </c>
      <c r="AH24">
        <v>2</v>
      </c>
      <c r="AI24">
        <v>27758640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ROW(Source!A27)</f>
        <v>27</v>
      </c>
      <c r="B25">
        <v>27758649</v>
      </c>
      <c r="C25">
        <v>27758637</v>
      </c>
      <c r="D25">
        <v>15709829</v>
      </c>
      <c r="E25">
        <v>1</v>
      </c>
      <c r="F25">
        <v>1</v>
      </c>
      <c r="G25">
        <v>1</v>
      </c>
      <c r="H25">
        <v>2</v>
      </c>
      <c r="I25" t="s">
        <v>268</v>
      </c>
      <c r="J25" t="s">
        <v>269</v>
      </c>
      <c r="K25" t="s">
        <v>270</v>
      </c>
      <c r="L25">
        <v>1368</v>
      </c>
      <c r="N25">
        <v>1011</v>
      </c>
      <c r="O25" t="s">
        <v>234</v>
      </c>
      <c r="P25" t="s">
        <v>234</v>
      </c>
      <c r="Q25">
        <v>1</v>
      </c>
      <c r="X25">
        <v>48</v>
      </c>
      <c r="Y25">
        <v>0</v>
      </c>
      <c r="Z25">
        <v>2.38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48</v>
      </c>
      <c r="AH25">
        <v>2</v>
      </c>
      <c r="AI25">
        <v>27758641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ROW(Source!A27)</f>
        <v>27</v>
      </c>
      <c r="B26">
        <v>27758650</v>
      </c>
      <c r="C26">
        <v>27758637</v>
      </c>
      <c r="D26">
        <v>15711260</v>
      </c>
      <c r="E26">
        <v>1</v>
      </c>
      <c r="F26">
        <v>1</v>
      </c>
      <c r="G26">
        <v>1</v>
      </c>
      <c r="H26">
        <v>2</v>
      </c>
      <c r="I26" t="s">
        <v>271</v>
      </c>
      <c r="J26" t="s">
        <v>272</v>
      </c>
      <c r="K26" t="s">
        <v>273</v>
      </c>
      <c r="L26">
        <v>1368</v>
      </c>
      <c r="N26">
        <v>1011</v>
      </c>
      <c r="O26" t="s">
        <v>234</v>
      </c>
      <c r="P26" t="s">
        <v>234</v>
      </c>
      <c r="Q26">
        <v>1</v>
      </c>
      <c r="X26">
        <v>0.13</v>
      </c>
      <c r="Y26">
        <v>0</v>
      </c>
      <c r="Z26">
        <v>822.45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0.13</v>
      </c>
      <c r="AH26">
        <v>2</v>
      </c>
      <c r="AI26">
        <v>27758642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ROW(Source!A27)</f>
        <v>27</v>
      </c>
      <c r="B27">
        <v>27758651</v>
      </c>
      <c r="C27">
        <v>27758637</v>
      </c>
      <c r="D27">
        <v>15730378</v>
      </c>
      <c r="E27">
        <v>1</v>
      </c>
      <c r="F27">
        <v>1</v>
      </c>
      <c r="G27">
        <v>1</v>
      </c>
      <c r="H27">
        <v>3</v>
      </c>
      <c r="I27" t="s">
        <v>274</v>
      </c>
      <c r="J27" t="s">
        <v>275</v>
      </c>
      <c r="K27" t="s">
        <v>276</v>
      </c>
      <c r="L27">
        <v>1327</v>
      </c>
      <c r="N27">
        <v>1005</v>
      </c>
      <c r="O27" t="s">
        <v>73</v>
      </c>
      <c r="P27" t="s">
        <v>73</v>
      </c>
      <c r="Q27">
        <v>1</v>
      </c>
      <c r="X27">
        <v>250</v>
      </c>
      <c r="Y27">
        <v>49.24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250</v>
      </c>
      <c r="AH27">
        <v>2</v>
      </c>
      <c r="AI27">
        <v>27758643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ROW(Source!A27)</f>
        <v>27</v>
      </c>
      <c r="B28">
        <v>27758652</v>
      </c>
      <c r="C28">
        <v>27758637</v>
      </c>
      <c r="D28">
        <v>15711866</v>
      </c>
      <c r="E28">
        <v>1</v>
      </c>
      <c r="F28">
        <v>1</v>
      </c>
      <c r="G28">
        <v>1</v>
      </c>
      <c r="H28">
        <v>3</v>
      </c>
      <c r="I28" t="s">
        <v>277</v>
      </c>
      <c r="J28" t="s">
        <v>278</v>
      </c>
      <c r="K28" t="s">
        <v>279</v>
      </c>
      <c r="L28">
        <v>1339</v>
      </c>
      <c r="N28">
        <v>1007</v>
      </c>
      <c r="O28" t="s">
        <v>34</v>
      </c>
      <c r="P28" t="s">
        <v>34</v>
      </c>
      <c r="Q28">
        <v>1</v>
      </c>
      <c r="X28">
        <v>102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 t="s">
        <v>3</v>
      </c>
      <c r="AG28">
        <v>102</v>
      </c>
      <c r="AH28">
        <v>2</v>
      </c>
      <c r="AI28">
        <v>27758644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ROW(Source!A27)</f>
        <v>27</v>
      </c>
      <c r="B29">
        <v>27758653</v>
      </c>
      <c r="C29">
        <v>27758637</v>
      </c>
      <c r="D29">
        <v>15721795</v>
      </c>
      <c r="E29">
        <v>1</v>
      </c>
      <c r="F29">
        <v>1</v>
      </c>
      <c r="G29">
        <v>1</v>
      </c>
      <c r="H29">
        <v>3</v>
      </c>
      <c r="I29" t="s">
        <v>280</v>
      </c>
      <c r="J29" t="s">
        <v>281</v>
      </c>
      <c r="K29" t="s">
        <v>282</v>
      </c>
      <c r="L29">
        <v>1339</v>
      </c>
      <c r="N29">
        <v>1007</v>
      </c>
      <c r="O29" t="s">
        <v>34</v>
      </c>
      <c r="P29" t="s">
        <v>34</v>
      </c>
      <c r="Q29">
        <v>1</v>
      </c>
      <c r="X29">
        <v>0.2</v>
      </c>
      <c r="Y29">
        <v>18.29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0.2</v>
      </c>
      <c r="AH29">
        <v>2</v>
      </c>
      <c r="AI29">
        <v>27758645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ROW(Source!A28)</f>
        <v>28</v>
      </c>
      <c r="B30">
        <v>27758656</v>
      </c>
      <c r="C30">
        <v>27758654</v>
      </c>
      <c r="D30">
        <v>15711268</v>
      </c>
      <c r="E30">
        <v>1</v>
      </c>
      <c r="F30">
        <v>1</v>
      </c>
      <c r="G30">
        <v>1</v>
      </c>
      <c r="H30">
        <v>2</v>
      </c>
      <c r="I30" t="s">
        <v>283</v>
      </c>
      <c r="J30" t="s">
        <v>284</v>
      </c>
      <c r="K30" t="s">
        <v>285</v>
      </c>
      <c r="L30">
        <v>1368</v>
      </c>
      <c r="N30">
        <v>1011</v>
      </c>
      <c r="O30" t="s">
        <v>234</v>
      </c>
      <c r="P30" t="s">
        <v>234</v>
      </c>
      <c r="Q30">
        <v>1</v>
      </c>
      <c r="X30">
        <v>0.13300000000000001</v>
      </c>
      <c r="Y30">
        <v>0</v>
      </c>
      <c r="Z30">
        <v>1062.04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0.13300000000000001</v>
      </c>
      <c r="AH30">
        <v>2</v>
      </c>
      <c r="AI30">
        <v>27758655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ROW(Source!A29)</f>
        <v>29</v>
      </c>
      <c r="B31">
        <v>27758669</v>
      </c>
      <c r="C31">
        <v>27758657</v>
      </c>
      <c r="D31">
        <v>9257039</v>
      </c>
      <c r="E31">
        <v>1</v>
      </c>
      <c r="F31">
        <v>1</v>
      </c>
      <c r="G31">
        <v>1</v>
      </c>
      <c r="H31">
        <v>1</v>
      </c>
      <c r="I31" t="s">
        <v>286</v>
      </c>
      <c r="J31" t="s">
        <v>3</v>
      </c>
      <c r="K31" t="s">
        <v>287</v>
      </c>
      <c r="L31">
        <v>1369</v>
      </c>
      <c r="N31">
        <v>1013</v>
      </c>
      <c r="O31" t="s">
        <v>228</v>
      </c>
      <c r="P31" t="s">
        <v>228</v>
      </c>
      <c r="Q31">
        <v>1</v>
      </c>
      <c r="X31">
        <v>95.92</v>
      </c>
      <c r="Y31">
        <v>0</v>
      </c>
      <c r="Z31">
        <v>0</v>
      </c>
      <c r="AA31">
        <v>0</v>
      </c>
      <c r="AB31">
        <v>171.84</v>
      </c>
      <c r="AC31">
        <v>0</v>
      </c>
      <c r="AD31">
        <v>1</v>
      </c>
      <c r="AE31">
        <v>1</v>
      </c>
      <c r="AF31" t="s">
        <v>3</v>
      </c>
      <c r="AG31">
        <v>95.92</v>
      </c>
      <c r="AH31">
        <v>2</v>
      </c>
      <c r="AI31">
        <v>27758658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ROW(Source!A29)</f>
        <v>29</v>
      </c>
      <c r="B32">
        <v>27758670</v>
      </c>
      <c r="C32">
        <v>27758657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24</v>
      </c>
      <c r="J32" t="s">
        <v>3</v>
      </c>
      <c r="K32" t="s">
        <v>229</v>
      </c>
      <c r="L32">
        <v>608254</v>
      </c>
      <c r="N32">
        <v>1013</v>
      </c>
      <c r="O32" t="s">
        <v>230</v>
      </c>
      <c r="P32" t="s">
        <v>230</v>
      </c>
      <c r="Q32">
        <v>1</v>
      </c>
      <c r="X32">
        <v>0.34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3</v>
      </c>
      <c r="AG32">
        <v>0.34</v>
      </c>
      <c r="AH32">
        <v>2</v>
      </c>
      <c r="AI32">
        <v>27758659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ROW(Source!A29)</f>
        <v>29</v>
      </c>
      <c r="B33">
        <v>27758671</v>
      </c>
      <c r="C33">
        <v>27758657</v>
      </c>
      <c r="D33">
        <v>15709273</v>
      </c>
      <c r="E33">
        <v>1</v>
      </c>
      <c r="F33">
        <v>1</v>
      </c>
      <c r="G33">
        <v>1</v>
      </c>
      <c r="H33">
        <v>2</v>
      </c>
      <c r="I33" t="s">
        <v>288</v>
      </c>
      <c r="J33" t="s">
        <v>289</v>
      </c>
      <c r="K33" t="s">
        <v>290</v>
      </c>
      <c r="L33">
        <v>1368</v>
      </c>
      <c r="N33">
        <v>1011</v>
      </c>
      <c r="O33" t="s">
        <v>234</v>
      </c>
      <c r="P33" t="s">
        <v>234</v>
      </c>
      <c r="Q33">
        <v>1</v>
      </c>
      <c r="X33">
        <v>7.0000000000000007E-2</v>
      </c>
      <c r="Y33">
        <v>0</v>
      </c>
      <c r="Z33">
        <v>843.88</v>
      </c>
      <c r="AA33">
        <v>274.41000000000003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7.0000000000000007E-2</v>
      </c>
      <c r="AH33">
        <v>2</v>
      </c>
      <c r="AI33">
        <v>27758660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ROW(Source!A29)</f>
        <v>29</v>
      </c>
      <c r="B34">
        <v>27758672</v>
      </c>
      <c r="C34">
        <v>27758657</v>
      </c>
      <c r="D34">
        <v>15709345</v>
      </c>
      <c r="E34">
        <v>1</v>
      </c>
      <c r="F34">
        <v>1</v>
      </c>
      <c r="G34">
        <v>1</v>
      </c>
      <c r="H34">
        <v>2</v>
      </c>
      <c r="I34" t="s">
        <v>291</v>
      </c>
      <c r="J34" t="s">
        <v>292</v>
      </c>
      <c r="K34" t="s">
        <v>293</v>
      </c>
      <c r="L34">
        <v>1368</v>
      </c>
      <c r="N34">
        <v>1011</v>
      </c>
      <c r="O34" t="s">
        <v>234</v>
      </c>
      <c r="P34" t="s">
        <v>234</v>
      </c>
      <c r="Q34">
        <v>1</v>
      </c>
      <c r="X34">
        <v>0.27</v>
      </c>
      <c r="Y34">
        <v>0</v>
      </c>
      <c r="Z34">
        <v>696.16</v>
      </c>
      <c r="AA34">
        <v>204.49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0.27</v>
      </c>
      <c r="AH34">
        <v>2</v>
      </c>
      <c r="AI34">
        <v>27758661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ROW(Source!A29)</f>
        <v>29</v>
      </c>
      <c r="B35">
        <v>27758673</v>
      </c>
      <c r="C35">
        <v>27758657</v>
      </c>
      <c r="D35">
        <v>15711260</v>
      </c>
      <c r="E35">
        <v>1</v>
      </c>
      <c r="F35">
        <v>1</v>
      </c>
      <c r="G35">
        <v>1</v>
      </c>
      <c r="H35">
        <v>2</v>
      </c>
      <c r="I35" t="s">
        <v>271</v>
      </c>
      <c r="J35" t="s">
        <v>272</v>
      </c>
      <c r="K35" t="s">
        <v>273</v>
      </c>
      <c r="L35">
        <v>1368</v>
      </c>
      <c r="N35">
        <v>1011</v>
      </c>
      <c r="O35" t="s">
        <v>234</v>
      </c>
      <c r="P35" t="s">
        <v>234</v>
      </c>
      <c r="Q35">
        <v>1</v>
      </c>
      <c r="X35">
        <v>0.1</v>
      </c>
      <c r="Y35">
        <v>0</v>
      </c>
      <c r="Z35">
        <v>822.45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0.1</v>
      </c>
      <c r="AH35">
        <v>2</v>
      </c>
      <c r="AI35">
        <v>27758662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ROW(Source!A29)</f>
        <v>29</v>
      </c>
      <c r="B36">
        <v>27758674</v>
      </c>
      <c r="C36">
        <v>27758657</v>
      </c>
      <c r="D36">
        <v>15736847</v>
      </c>
      <c r="E36">
        <v>1</v>
      </c>
      <c r="F36">
        <v>1</v>
      </c>
      <c r="G36">
        <v>1</v>
      </c>
      <c r="H36">
        <v>3</v>
      </c>
      <c r="I36" t="s">
        <v>59</v>
      </c>
      <c r="J36" t="s">
        <v>62</v>
      </c>
      <c r="K36" t="s">
        <v>253</v>
      </c>
      <c r="L36">
        <v>1348</v>
      </c>
      <c r="N36">
        <v>1009</v>
      </c>
      <c r="O36" t="s">
        <v>61</v>
      </c>
      <c r="P36" t="s">
        <v>61</v>
      </c>
      <c r="Q36">
        <v>1000</v>
      </c>
      <c r="X36">
        <v>1.47E-2</v>
      </c>
      <c r="Y36">
        <v>67818.78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1.47E-2</v>
      </c>
      <c r="AH36">
        <v>2</v>
      </c>
      <c r="AI36">
        <v>27758663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ROW(Source!A29)</f>
        <v>29</v>
      </c>
      <c r="B37">
        <v>27758675</v>
      </c>
      <c r="C37">
        <v>27758657</v>
      </c>
      <c r="D37">
        <v>15738108</v>
      </c>
      <c r="E37">
        <v>1</v>
      </c>
      <c r="F37">
        <v>1</v>
      </c>
      <c r="G37">
        <v>1</v>
      </c>
      <c r="H37">
        <v>3</v>
      </c>
      <c r="I37" t="s">
        <v>55</v>
      </c>
      <c r="J37" t="s">
        <v>57</v>
      </c>
      <c r="K37" t="s">
        <v>294</v>
      </c>
      <c r="L37">
        <v>1339</v>
      </c>
      <c r="N37">
        <v>1007</v>
      </c>
      <c r="O37" t="s">
        <v>34</v>
      </c>
      <c r="P37" t="s">
        <v>34</v>
      </c>
      <c r="Q37">
        <v>1</v>
      </c>
      <c r="X37">
        <v>0.32</v>
      </c>
      <c r="Y37">
        <v>4076.6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0.32</v>
      </c>
      <c r="AH37">
        <v>2</v>
      </c>
      <c r="AI37">
        <v>27758664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ROW(Source!A29)</f>
        <v>29</v>
      </c>
      <c r="B38">
        <v>27758676</v>
      </c>
      <c r="C38">
        <v>27758657</v>
      </c>
      <c r="D38">
        <v>15738116</v>
      </c>
      <c r="E38">
        <v>1</v>
      </c>
      <c r="F38">
        <v>1</v>
      </c>
      <c r="G38">
        <v>1</v>
      </c>
      <c r="H38">
        <v>3</v>
      </c>
      <c r="I38" t="s">
        <v>295</v>
      </c>
      <c r="J38" t="s">
        <v>296</v>
      </c>
      <c r="K38" t="s">
        <v>297</v>
      </c>
      <c r="L38">
        <v>1339</v>
      </c>
      <c r="N38">
        <v>1007</v>
      </c>
      <c r="O38" t="s">
        <v>34</v>
      </c>
      <c r="P38" t="s">
        <v>34</v>
      </c>
      <c r="Q38">
        <v>1</v>
      </c>
      <c r="X38">
        <v>0.42</v>
      </c>
      <c r="Y38">
        <v>3983.95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0.42</v>
      </c>
      <c r="AH38">
        <v>2</v>
      </c>
      <c r="AI38">
        <v>27758665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ROW(Source!A29)</f>
        <v>29</v>
      </c>
      <c r="B39">
        <v>27758677</v>
      </c>
      <c r="C39">
        <v>27758657</v>
      </c>
      <c r="D39">
        <v>15727094</v>
      </c>
      <c r="E39">
        <v>1</v>
      </c>
      <c r="F39">
        <v>1</v>
      </c>
      <c r="G39">
        <v>1</v>
      </c>
      <c r="H39">
        <v>3</v>
      </c>
      <c r="I39" t="s">
        <v>298</v>
      </c>
      <c r="J39" t="s">
        <v>299</v>
      </c>
      <c r="K39" t="s">
        <v>300</v>
      </c>
      <c r="L39">
        <v>1327</v>
      </c>
      <c r="N39">
        <v>1005</v>
      </c>
      <c r="O39" t="s">
        <v>73</v>
      </c>
      <c r="P39" t="s">
        <v>73</v>
      </c>
      <c r="Q39">
        <v>1</v>
      </c>
      <c r="X39">
        <v>5.44</v>
      </c>
      <c r="Y39">
        <v>350.39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5.44</v>
      </c>
      <c r="AH39">
        <v>2</v>
      </c>
      <c r="AI39">
        <v>27758666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ROW(Source!A29)</f>
        <v>29</v>
      </c>
      <c r="B40">
        <v>27758678</v>
      </c>
      <c r="C40">
        <v>27758657</v>
      </c>
      <c r="D40">
        <v>15721058</v>
      </c>
      <c r="E40">
        <v>1</v>
      </c>
      <c r="F40">
        <v>1</v>
      </c>
      <c r="G40">
        <v>1</v>
      </c>
      <c r="H40">
        <v>3</v>
      </c>
      <c r="I40" t="s">
        <v>301</v>
      </c>
      <c r="J40" t="s">
        <v>302</v>
      </c>
      <c r="K40" t="s">
        <v>303</v>
      </c>
      <c r="L40">
        <v>1348</v>
      </c>
      <c r="N40">
        <v>1009</v>
      </c>
      <c r="O40" t="s">
        <v>61</v>
      </c>
      <c r="P40" t="s">
        <v>61</v>
      </c>
      <c r="Q40">
        <v>1000</v>
      </c>
      <c r="X40">
        <v>2.1000000000000001E-2</v>
      </c>
      <c r="Y40">
        <v>3242.75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2.1000000000000001E-2</v>
      </c>
      <c r="AH40">
        <v>2</v>
      </c>
      <c r="AI40">
        <v>27758667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ROW(Source!A29)</f>
        <v>29</v>
      </c>
      <c r="B41">
        <v>27758679</v>
      </c>
      <c r="C41">
        <v>27758657</v>
      </c>
      <c r="D41">
        <v>15721795</v>
      </c>
      <c r="E41">
        <v>1</v>
      </c>
      <c r="F41">
        <v>1</v>
      </c>
      <c r="G41">
        <v>1</v>
      </c>
      <c r="H41">
        <v>3</v>
      </c>
      <c r="I41" t="s">
        <v>280</v>
      </c>
      <c r="J41" t="s">
        <v>281</v>
      </c>
      <c r="K41" t="s">
        <v>282</v>
      </c>
      <c r="L41">
        <v>1339</v>
      </c>
      <c r="N41">
        <v>1007</v>
      </c>
      <c r="O41" t="s">
        <v>34</v>
      </c>
      <c r="P41" t="s">
        <v>34</v>
      </c>
      <c r="Q41">
        <v>1</v>
      </c>
      <c r="X41">
        <v>6.0999999999999999E-2</v>
      </c>
      <c r="Y41">
        <v>18.29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6.0999999999999999E-2</v>
      </c>
      <c r="AH41">
        <v>2</v>
      </c>
      <c r="AI41">
        <v>27758668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ROW(Source!A32)</f>
        <v>32</v>
      </c>
      <c r="B42">
        <v>27758692</v>
      </c>
      <c r="C42">
        <v>27758682</v>
      </c>
      <c r="D42">
        <v>9255446</v>
      </c>
      <c r="E42">
        <v>1</v>
      </c>
      <c r="F42">
        <v>1</v>
      </c>
      <c r="G42">
        <v>1</v>
      </c>
      <c r="H42">
        <v>1</v>
      </c>
      <c r="I42" t="s">
        <v>226</v>
      </c>
      <c r="J42" t="s">
        <v>3</v>
      </c>
      <c r="K42" t="s">
        <v>227</v>
      </c>
      <c r="L42">
        <v>1369</v>
      </c>
      <c r="N42">
        <v>1013</v>
      </c>
      <c r="O42" t="s">
        <v>228</v>
      </c>
      <c r="P42" t="s">
        <v>228</v>
      </c>
      <c r="Q42">
        <v>1</v>
      </c>
      <c r="X42">
        <v>10.5</v>
      </c>
      <c r="Y42">
        <v>0</v>
      </c>
      <c r="Z42">
        <v>0</v>
      </c>
      <c r="AA42">
        <v>0</v>
      </c>
      <c r="AB42">
        <v>193.32</v>
      </c>
      <c r="AC42">
        <v>0</v>
      </c>
      <c r="AD42">
        <v>1</v>
      </c>
      <c r="AE42">
        <v>1</v>
      </c>
      <c r="AF42" t="s">
        <v>3</v>
      </c>
      <c r="AG42">
        <v>10.5</v>
      </c>
      <c r="AH42">
        <v>2</v>
      </c>
      <c r="AI42">
        <v>27758683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ROW(Source!A32)</f>
        <v>32</v>
      </c>
      <c r="B43">
        <v>27758693</v>
      </c>
      <c r="C43">
        <v>27758682</v>
      </c>
      <c r="D43">
        <v>121548</v>
      </c>
      <c r="E43">
        <v>1</v>
      </c>
      <c r="F43">
        <v>1</v>
      </c>
      <c r="G43">
        <v>1</v>
      </c>
      <c r="H43">
        <v>1</v>
      </c>
      <c r="I43" t="s">
        <v>24</v>
      </c>
      <c r="J43" t="s">
        <v>3</v>
      </c>
      <c r="K43" t="s">
        <v>229</v>
      </c>
      <c r="L43">
        <v>608254</v>
      </c>
      <c r="N43">
        <v>1013</v>
      </c>
      <c r="O43" t="s">
        <v>230</v>
      </c>
      <c r="P43" t="s">
        <v>230</v>
      </c>
      <c r="Q43">
        <v>1</v>
      </c>
      <c r="X43">
        <v>0.06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2</v>
      </c>
      <c r="AF43" t="s">
        <v>3</v>
      </c>
      <c r="AG43">
        <v>0.06</v>
      </c>
      <c r="AH43">
        <v>2</v>
      </c>
      <c r="AI43">
        <v>27758684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27758694</v>
      </c>
      <c r="C44">
        <v>27758682</v>
      </c>
      <c r="D44">
        <v>15709345</v>
      </c>
      <c r="E44">
        <v>1</v>
      </c>
      <c r="F44">
        <v>1</v>
      </c>
      <c r="G44">
        <v>1</v>
      </c>
      <c r="H44">
        <v>2</v>
      </c>
      <c r="I44" t="s">
        <v>291</v>
      </c>
      <c r="J44" t="s">
        <v>292</v>
      </c>
      <c r="K44" t="s">
        <v>293</v>
      </c>
      <c r="L44">
        <v>1368</v>
      </c>
      <c r="N44">
        <v>1011</v>
      </c>
      <c r="O44" t="s">
        <v>234</v>
      </c>
      <c r="P44" t="s">
        <v>234</v>
      </c>
      <c r="Q44">
        <v>1</v>
      </c>
      <c r="X44">
        <v>0.03</v>
      </c>
      <c r="Y44">
        <v>0</v>
      </c>
      <c r="Z44">
        <v>696.16</v>
      </c>
      <c r="AA44">
        <v>204.49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0.03</v>
      </c>
      <c r="AH44">
        <v>2</v>
      </c>
      <c r="AI44">
        <v>27758685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27758695</v>
      </c>
      <c r="C45">
        <v>27758682</v>
      </c>
      <c r="D45">
        <v>15709939</v>
      </c>
      <c r="E45">
        <v>1</v>
      </c>
      <c r="F45">
        <v>1</v>
      </c>
      <c r="G45">
        <v>1</v>
      </c>
      <c r="H45">
        <v>2</v>
      </c>
      <c r="I45" t="s">
        <v>304</v>
      </c>
      <c r="J45" t="s">
        <v>305</v>
      </c>
      <c r="K45" t="s">
        <v>306</v>
      </c>
      <c r="L45">
        <v>1368</v>
      </c>
      <c r="N45">
        <v>1011</v>
      </c>
      <c r="O45" t="s">
        <v>234</v>
      </c>
      <c r="P45" t="s">
        <v>234</v>
      </c>
      <c r="Q45">
        <v>1</v>
      </c>
      <c r="X45">
        <v>0.03</v>
      </c>
      <c r="Y45">
        <v>0</v>
      </c>
      <c r="Z45">
        <v>989.22</v>
      </c>
      <c r="AA45">
        <v>235.87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0.03</v>
      </c>
      <c r="AH45">
        <v>2</v>
      </c>
      <c r="AI45">
        <v>27758686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27758696</v>
      </c>
      <c r="C46">
        <v>27758682</v>
      </c>
      <c r="D46">
        <v>15710003</v>
      </c>
      <c r="E46">
        <v>1</v>
      </c>
      <c r="F46">
        <v>1</v>
      </c>
      <c r="G46">
        <v>1</v>
      </c>
      <c r="H46">
        <v>2</v>
      </c>
      <c r="I46" t="s">
        <v>307</v>
      </c>
      <c r="J46" t="s">
        <v>308</v>
      </c>
      <c r="K46" t="s">
        <v>309</v>
      </c>
      <c r="L46">
        <v>1368</v>
      </c>
      <c r="N46">
        <v>1011</v>
      </c>
      <c r="O46" t="s">
        <v>234</v>
      </c>
      <c r="P46" t="s">
        <v>234</v>
      </c>
      <c r="Q46">
        <v>1</v>
      </c>
      <c r="X46">
        <v>0.56999999999999995</v>
      </c>
      <c r="Y46">
        <v>0</v>
      </c>
      <c r="Z46">
        <v>23.16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0.56999999999999995</v>
      </c>
      <c r="AH46">
        <v>2</v>
      </c>
      <c r="AI46">
        <v>27758687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27758697</v>
      </c>
      <c r="C47">
        <v>27758682</v>
      </c>
      <c r="D47">
        <v>15711260</v>
      </c>
      <c r="E47">
        <v>1</v>
      </c>
      <c r="F47">
        <v>1</v>
      </c>
      <c r="G47">
        <v>1</v>
      </c>
      <c r="H47">
        <v>2</v>
      </c>
      <c r="I47" t="s">
        <v>271</v>
      </c>
      <c r="J47" t="s">
        <v>272</v>
      </c>
      <c r="K47" t="s">
        <v>273</v>
      </c>
      <c r="L47">
        <v>1368</v>
      </c>
      <c r="N47">
        <v>1011</v>
      </c>
      <c r="O47" t="s">
        <v>234</v>
      </c>
      <c r="P47" t="s">
        <v>234</v>
      </c>
      <c r="Q47">
        <v>1</v>
      </c>
      <c r="X47">
        <v>0.03</v>
      </c>
      <c r="Y47">
        <v>0</v>
      </c>
      <c r="Z47">
        <v>822.45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0.03</v>
      </c>
      <c r="AH47">
        <v>2</v>
      </c>
      <c r="AI47">
        <v>27758688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27758698</v>
      </c>
      <c r="C48">
        <v>27758682</v>
      </c>
      <c r="D48">
        <v>15712925</v>
      </c>
      <c r="E48">
        <v>1</v>
      </c>
      <c r="F48">
        <v>1</v>
      </c>
      <c r="G48">
        <v>1</v>
      </c>
      <c r="H48">
        <v>3</v>
      </c>
      <c r="I48" t="s">
        <v>310</v>
      </c>
      <c r="J48" t="s">
        <v>311</v>
      </c>
      <c r="K48" t="s">
        <v>312</v>
      </c>
      <c r="L48">
        <v>1327</v>
      </c>
      <c r="N48">
        <v>1005</v>
      </c>
      <c r="O48" t="s">
        <v>73</v>
      </c>
      <c r="P48" t="s">
        <v>73</v>
      </c>
      <c r="Q48">
        <v>1</v>
      </c>
      <c r="X48">
        <v>10.199999999999999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 t="s">
        <v>3</v>
      </c>
      <c r="AG48">
        <v>10.199999999999999</v>
      </c>
      <c r="AH48">
        <v>2</v>
      </c>
      <c r="AI48">
        <v>27758689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27758699</v>
      </c>
      <c r="C49">
        <v>27758682</v>
      </c>
      <c r="D49">
        <v>15721368</v>
      </c>
      <c r="E49">
        <v>1</v>
      </c>
      <c r="F49">
        <v>1</v>
      </c>
      <c r="G49">
        <v>1</v>
      </c>
      <c r="H49">
        <v>3</v>
      </c>
      <c r="I49" t="s">
        <v>328</v>
      </c>
      <c r="J49" t="s">
        <v>329</v>
      </c>
      <c r="K49" t="s">
        <v>330</v>
      </c>
      <c r="L49">
        <v>1339</v>
      </c>
      <c r="N49">
        <v>1007</v>
      </c>
      <c r="O49" t="s">
        <v>34</v>
      </c>
      <c r="P49" t="s">
        <v>34</v>
      </c>
      <c r="Q49">
        <v>1</v>
      </c>
      <c r="X49">
        <v>0.05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 t="s">
        <v>3</v>
      </c>
      <c r="AG49">
        <v>0.05</v>
      </c>
      <c r="AH49">
        <v>3</v>
      </c>
      <c r="AI49">
        <v>-1</v>
      </c>
      <c r="AJ49" t="s">
        <v>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ROW(Source!A32)</f>
        <v>32</v>
      </c>
      <c r="B50">
        <v>27758700</v>
      </c>
      <c r="C50">
        <v>27758682</v>
      </c>
      <c r="D50">
        <v>15721795</v>
      </c>
      <c r="E50">
        <v>1</v>
      </c>
      <c r="F50">
        <v>1</v>
      </c>
      <c r="G50">
        <v>1</v>
      </c>
      <c r="H50">
        <v>3</v>
      </c>
      <c r="I50" t="s">
        <v>280</v>
      </c>
      <c r="J50" t="s">
        <v>281</v>
      </c>
      <c r="K50" t="s">
        <v>282</v>
      </c>
      <c r="L50">
        <v>1339</v>
      </c>
      <c r="N50">
        <v>1007</v>
      </c>
      <c r="O50" t="s">
        <v>34</v>
      </c>
      <c r="P50" t="s">
        <v>34</v>
      </c>
      <c r="Q50">
        <v>1</v>
      </c>
      <c r="X50">
        <v>0.2</v>
      </c>
      <c r="Y50">
        <v>18.29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0.2</v>
      </c>
      <c r="AH50">
        <v>2</v>
      </c>
      <c r="AI50">
        <v>27758691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ROW(Source!A34)</f>
        <v>34</v>
      </c>
      <c r="B51">
        <v>27758712</v>
      </c>
      <c r="C51">
        <v>27758702</v>
      </c>
      <c r="D51">
        <v>9254951</v>
      </c>
      <c r="E51">
        <v>1</v>
      </c>
      <c r="F51">
        <v>1</v>
      </c>
      <c r="G51">
        <v>1</v>
      </c>
      <c r="H51">
        <v>1</v>
      </c>
      <c r="I51" t="s">
        <v>316</v>
      </c>
      <c r="J51" t="s">
        <v>3</v>
      </c>
      <c r="K51" t="s">
        <v>317</v>
      </c>
      <c r="L51">
        <v>1369</v>
      </c>
      <c r="N51">
        <v>1013</v>
      </c>
      <c r="O51" t="s">
        <v>228</v>
      </c>
      <c r="P51" t="s">
        <v>228</v>
      </c>
      <c r="Q51">
        <v>1</v>
      </c>
      <c r="X51">
        <v>72.37</v>
      </c>
      <c r="Y51">
        <v>0</v>
      </c>
      <c r="Z51">
        <v>0</v>
      </c>
      <c r="AA51">
        <v>0</v>
      </c>
      <c r="AB51">
        <v>177.68</v>
      </c>
      <c r="AC51">
        <v>0</v>
      </c>
      <c r="AD51">
        <v>1</v>
      </c>
      <c r="AE51">
        <v>1</v>
      </c>
      <c r="AF51" t="s">
        <v>3</v>
      </c>
      <c r="AG51">
        <v>72.37</v>
      </c>
      <c r="AH51">
        <v>2</v>
      </c>
      <c r="AI51">
        <v>27758703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ROW(Source!A34)</f>
        <v>34</v>
      </c>
      <c r="B52">
        <v>27758713</v>
      </c>
      <c r="C52">
        <v>27758702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24</v>
      </c>
      <c r="J52" t="s">
        <v>3</v>
      </c>
      <c r="K52" t="s">
        <v>229</v>
      </c>
      <c r="L52">
        <v>608254</v>
      </c>
      <c r="N52">
        <v>1013</v>
      </c>
      <c r="O52" t="s">
        <v>230</v>
      </c>
      <c r="P52" t="s">
        <v>230</v>
      </c>
      <c r="Q52">
        <v>1</v>
      </c>
      <c r="X52">
        <v>23.38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3</v>
      </c>
      <c r="AG52">
        <v>23.38</v>
      </c>
      <c r="AH52">
        <v>2</v>
      </c>
      <c r="AI52">
        <v>27758704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ROW(Source!A34)</f>
        <v>34</v>
      </c>
      <c r="B53">
        <v>27758714</v>
      </c>
      <c r="C53">
        <v>27758702</v>
      </c>
      <c r="D53">
        <v>15709293</v>
      </c>
      <c r="E53">
        <v>1</v>
      </c>
      <c r="F53">
        <v>1</v>
      </c>
      <c r="G53">
        <v>1</v>
      </c>
      <c r="H53">
        <v>2</v>
      </c>
      <c r="I53" t="s">
        <v>231</v>
      </c>
      <c r="J53" t="s">
        <v>232</v>
      </c>
      <c r="K53" t="s">
        <v>233</v>
      </c>
      <c r="L53">
        <v>1368</v>
      </c>
      <c r="N53">
        <v>1011</v>
      </c>
      <c r="O53" t="s">
        <v>234</v>
      </c>
      <c r="P53" t="s">
        <v>234</v>
      </c>
      <c r="Q53">
        <v>1</v>
      </c>
      <c r="X53">
        <v>22.03</v>
      </c>
      <c r="Y53">
        <v>0</v>
      </c>
      <c r="Z53">
        <v>661.15</v>
      </c>
      <c r="AA53">
        <v>274.41000000000003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22.03</v>
      </c>
      <c r="AH53">
        <v>2</v>
      </c>
      <c r="AI53">
        <v>27758705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ROW(Source!A34)</f>
        <v>34</v>
      </c>
      <c r="B54">
        <v>27758715</v>
      </c>
      <c r="C54">
        <v>27758702</v>
      </c>
      <c r="D54">
        <v>15709345</v>
      </c>
      <c r="E54">
        <v>1</v>
      </c>
      <c r="F54">
        <v>1</v>
      </c>
      <c r="G54">
        <v>1</v>
      </c>
      <c r="H54">
        <v>2</v>
      </c>
      <c r="I54" t="s">
        <v>291</v>
      </c>
      <c r="J54" t="s">
        <v>292</v>
      </c>
      <c r="K54" t="s">
        <v>293</v>
      </c>
      <c r="L54">
        <v>1368</v>
      </c>
      <c r="N54">
        <v>1011</v>
      </c>
      <c r="O54" t="s">
        <v>234</v>
      </c>
      <c r="P54" t="s">
        <v>234</v>
      </c>
      <c r="Q54">
        <v>1</v>
      </c>
      <c r="X54">
        <v>1.06</v>
      </c>
      <c r="Y54">
        <v>0</v>
      </c>
      <c r="Z54">
        <v>696.16</v>
      </c>
      <c r="AA54">
        <v>204.49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1.06</v>
      </c>
      <c r="AH54">
        <v>2</v>
      </c>
      <c r="AI54">
        <v>27758706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ROW(Source!A34)</f>
        <v>34</v>
      </c>
      <c r="B55">
        <v>27758716</v>
      </c>
      <c r="C55">
        <v>27758702</v>
      </c>
      <c r="D55">
        <v>15709527</v>
      </c>
      <c r="E55">
        <v>1</v>
      </c>
      <c r="F55">
        <v>1</v>
      </c>
      <c r="G55">
        <v>1</v>
      </c>
      <c r="H55">
        <v>2</v>
      </c>
      <c r="I55" t="s">
        <v>318</v>
      </c>
      <c r="J55" t="s">
        <v>319</v>
      </c>
      <c r="K55" t="s">
        <v>320</v>
      </c>
      <c r="L55">
        <v>1368</v>
      </c>
      <c r="N55">
        <v>1011</v>
      </c>
      <c r="O55" t="s">
        <v>234</v>
      </c>
      <c r="P55" t="s">
        <v>234</v>
      </c>
      <c r="Q55">
        <v>1</v>
      </c>
      <c r="X55">
        <v>0.28999999999999998</v>
      </c>
      <c r="Y55">
        <v>0</v>
      </c>
      <c r="Z55">
        <v>660.86</v>
      </c>
      <c r="AA55">
        <v>204.49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0.28999999999999998</v>
      </c>
      <c r="AH55">
        <v>2</v>
      </c>
      <c r="AI55">
        <v>27758707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ROW(Source!A34)</f>
        <v>34</v>
      </c>
      <c r="B56">
        <v>27758717</v>
      </c>
      <c r="C56">
        <v>27758702</v>
      </c>
      <c r="D56">
        <v>15710921</v>
      </c>
      <c r="E56">
        <v>1</v>
      </c>
      <c r="F56">
        <v>1</v>
      </c>
      <c r="G56">
        <v>1</v>
      </c>
      <c r="H56">
        <v>2</v>
      </c>
      <c r="I56" t="s">
        <v>321</v>
      </c>
      <c r="J56" t="s">
        <v>322</v>
      </c>
      <c r="K56" t="s">
        <v>323</v>
      </c>
      <c r="L56">
        <v>1368</v>
      </c>
      <c r="N56">
        <v>1011</v>
      </c>
      <c r="O56" t="s">
        <v>234</v>
      </c>
      <c r="P56" t="s">
        <v>234</v>
      </c>
      <c r="Q56">
        <v>1</v>
      </c>
      <c r="X56">
        <v>1.17</v>
      </c>
      <c r="Y56">
        <v>0</v>
      </c>
      <c r="Z56">
        <v>39.58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1.17</v>
      </c>
      <c r="AH56">
        <v>2</v>
      </c>
      <c r="AI56">
        <v>27758708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ROW(Source!A34)</f>
        <v>34</v>
      </c>
      <c r="B57">
        <v>27758718</v>
      </c>
      <c r="C57">
        <v>27758702</v>
      </c>
      <c r="D57">
        <v>15711260</v>
      </c>
      <c r="E57">
        <v>1</v>
      </c>
      <c r="F57">
        <v>1</v>
      </c>
      <c r="G57">
        <v>1</v>
      </c>
      <c r="H57">
        <v>2</v>
      </c>
      <c r="I57" t="s">
        <v>271</v>
      </c>
      <c r="J57" t="s">
        <v>272</v>
      </c>
      <c r="K57" t="s">
        <v>273</v>
      </c>
      <c r="L57">
        <v>1368</v>
      </c>
      <c r="N57">
        <v>1011</v>
      </c>
      <c r="O57" t="s">
        <v>234</v>
      </c>
      <c r="P57" t="s">
        <v>234</v>
      </c>
      <c r="Q57">
        <v>1</v>
      </c>
      <c r="X57">
        <v>1.75</v>
      </c>
      <c r="Y57">
        <v>0</v>
      </c>
      <c r="Z57">
        <v>822.45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1.75</v>
      </c>
      <c r="AH57">
        <v>2</v>
      </c>
      <c r="AI57">
        <v>27758709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ROW(Source!A34)</f>
        <v>34</v>
      </c>
      <c r="B58">
        <v>27758719</v>
      </c>
      <c r="C58">
        <v>27758702</v>
      </c>
      <c r="D58">
        <v>15719293</v>
      </c>
      <c r="E58">
        <v>1</v>
      </c>
      <c r="F58">
        <v>1</v>
      </c>
      <c r="G58">
        <v>1</v>
      </c>
      <c r="H58">
        <v>3</v>
      </c>
      <c r="I58" t="s">
        <v>324</v>
      </c>
      <c r="J58" t="s">
        <v>325</v>
      </c>
      <c r="K58" t="s">
        <v>326</v>
      </c>
      <c r="L58">
        <v>1354</v>
      </c>
      <c r="N58">
        <v>1010</v>
      </c>
      <c r="O58" t="s">
        <v>327</v>
      </c>
      <c r="P58" t="s">
        <v>327</v>
      </c>
      <c r="Q58">
        <v>1</v>
      </c>
      <c r="X58">
        <v>100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 t="s">
        <v>3</v>
      </c>
      <c r="AG58">
        <v>100</v>
      </c>
      <c r="AH58">
        <v>2</v>
      </c>
      <c r="AI58">
        <v>27758710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ROW(Source!A34)</f>
        <v>34</v>
      </c>
      <c r="B59">
        <v>27758720</v>
      </c>
      <c r="C59">
        <v>27758702</v>
      </c>
      <c r="D59">
        <v>15721368</v>
      </c>
      <c r="E59">
        <v>1</v>
      </c>
      <c r="F59">
        <v>1</v>
      </c>
      <c r="G59">
        <v>1</v>
      </c>
      <c r="H59">
        <v>3</v>
      </c>
      <c r="I59" t="s">
        <v>328</v>
      </c>
      <c r="J59" t="s">
        <v>329</v>
      </c>
      <c r="K59" t="s">
        <v>330</v>
      </c>
      <c r="L59">
        <v>1339</v>
      </c>
      <c r="N59">
        <v>1007</v>
      </c>
      <c r="O59" t="s">
        <v>34</v>
      </c>
      <c r="P59" t="s">
        <v>34</v>
      </c>
      <c r="Q59">
        <v>1</v>
      </c>
      <c r="X59">
        <v>9.6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 t="s">
        <v>3</v>
      </c>
      <c r="AG59">
        <v>9.6</v>
      </c>
      <c r="AH59">
        <v>2</v>
      </c>
      <c r="AI59">
        <v>27758711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ROW(Source!A37)</f>
        <v>37</v>
      </c>
      <c r="B60">
        <v>27758725</v>
      </c>
      <c r="C60">
        <v>27758723</v>
      </c>
      <c r="D60">
        <v>15711268</v>
      </c>
      <c r="E60">
        <v>1</v>
      </c>
      <c r="F60">
        <v>1</v>
      </c>
      <c r="G60">
        <v>1</v>
      </c>
      <c r="H60">
        <v>2</v>
      </c>
      <c r="I60" t="s">
        <v>283</v>
      </c>
      <c r="J60" t="s">
        <v>284</v>
      </c>
      <c r="K60" t="s">
        <v>285</v>
      </c>
      <c r="L60">
        <v>1368</v>
      </c>
      <c r="N60">
        <v>1011</v>
      </c>
      <c r="O60" t="s">
        <v>234</v>
      </c>
      <c r="P60" t="s">
        <v>234</v>
      </c>
      <c r="Q60">
        <v>1</v>
      </c>
      <c r="X60">
        <v>0.13300000000000001</v>
      </c>
      <c r="Y60">
        <v>0</v>
      </c>
      <c r="Z60">
        <v>1062.04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0.13300000000000001</v>
      </c>
      <c r="AH60">
        <v>2</v>
      </c>
      <c r="AI60">
        <v>27758724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ROW(Source!A38)</f>
        <v>38</v>
      </c>
      <c r="B61">
        <v>27758728</v>
      </c>
      <c r="C61">
        <v>27758726</v>
      </c>
      <c r="D61">
        <v>15711268</v>
      </c>
      <c r="E61">
        <v>1</v>
      </c>
      <c r="F61">
        <v>1</v>
      </c>
      <c r="G61">
        <v>1</v>
      </c>
      <c r="H61">
        <v>2</v>
      </c>
      <c r="I61" t="s">
        <v>283</v>
      </c>
      <c r="J61" t="s">
        <v>284</v>
      </c>
      <c r="K61" t="s">
        <v>285</v>
      </c>
      <c r="L61">
        <v>1368</v>
      </c>
      <c r="N61">
        <v>1011</v>
      </c>
      <c r="O61" t="s">
        <v>234</v>
      </c>
      <c r="P61" t="s">
        <v>234</v>
      </c>
      <c r="Q61">
        <v>1</v>
      </c>
      <c r="X61">
        <v>0.13300000000000001</v>
      </c>
      <c r="Y61">
        <v>0</v>
      </c>
      <c r="Z61">
        <v>1062.04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0.13300000000000001</v>
      </c>
      <c r="AH61">
        <v>2</v>
      </c>
      <c r="AI61">
        <v>27758727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ROW(Source!A39)</f>
        <v>39</v>
      </c>
      <c r="B62">
        <v>27758731</v>
      </c>
      <c r="C62">
        <v>27758729</v>
      </c>
      <c r="D62">
        <v>15711268</v>
      </c>
      <c r="E62">
        <v>1</v>
      </c>
      <c r="F62">
        <v>1</v>
      </c>
      <c r="G62">
        <v>1</v>
      </c>
      <c r="H62">
        <v>2</v>
      </c>
      <c r="I62" t="s">
        <v>283</v>
      </c>
      <c r="J62" t="s">
        <v>284</v>
      </c>
      <c r="K62" t="s">
        <v>285</v>
      </c>
      <c r="L62">
        <v>1368</v>
      </c>
      <c r="N62">
        <v>1011</v>
      </c>
      <c r="O62" t="s">
        <v>234</v>
      </c>
      <c r="P62" t="s">
        <v>234</v>
      </c>
      <c r="Q62">
        <v>1</v>
      </c>
      <c r="X62">
        <v>0.13300000000000001</v>
      </c>
      <c r="Y62">
        <v>0</v>
      </c>
      <c r="Z62">
        <v>1062.04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0.13300000000000001</v>
      </c>
      <c r="AH62">
        <v>2</v>
      </c>
      <c r="AI62">
        <v>27758730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 8-гр. ЛС 1 (2)</vt:lpstr>
      <vt:lpstr>Макет форма-3</vt:lpstr>
      <vt:lpstr>Source</vt:lpstr>
      <vt:lpstr>SourceObSm</vt:lpstr>
      <vt:lpstr>SmtRes</vt:lpstr>
      <vt:lpstr>EtalonRes</vt:lpstr>
      <vt:lpstr>' 8-гр. ЛС 1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архитектуры1</dc:creator>
  <cp:lastModifiedBy>Перминова И.В.</cp:lastModifiedBy>
  <cp:lastPrinted>2020-07-10T06:44:07Z</cp:lastPrinted>
  <dcterms:created xsi:type="dcterms:W3CDTF">2020-06-16T12:25:36Z</dcterms:created>
  <dcterms:modified xsi:type="dcterms:W3CDTF">2020-09-23T09:06:44Z</dcterms:modified>
</cp:coreProperties>
</file>