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2" windowWidth="23256" windowHeight="10548" activeTab="1"/>
  </bookViews>
  <sheets>
    <sheet name="130" sheetId="3" r:id="rId1"/>
    <sheet name="Итого" sheetId="6" r:id="rId2"/>
  </sheets>
  <definedNames>
    <definedName name="Клиент" localSheetId="0">'130'!$N$17:$N$21</definedName>
    <definedName name="Клиент">#REF!</definedName>
    <definedName name="пользователи" localSheetId="0">'130'!$N$12:$N$14</definedName>
    <definedName name="пользователи">#REF!</definedName>
    <definedName name="Тип" localSheetId="0">'130'!$D$13:$I$13</definedName>
    <definedName name="Типконструкции" localSheetId="0">'130'!$N$6:$N$11</definedName>
    <definedName name="Типконструкции">#REF!</definedName>
    <definedName name="Фактор" localSheetId="0">'130'!$N$3:$N$5</definedName>
    <definedName name="Фактор">#REF!</definedName>
  </definedNames>
  <calcPr calcId="125725" refMode="R1C1"/>
</workbook>
</file>

<file path=xl/calcChain.xml><?xml version="1.0" encoding="utf-8"?>
<calcChain xmlns="http://schemas.openxmlformats.org/spreadsheetml/2006/main">
  <c r="C10" i="6"/>
  <c r="J40" i="3" l="1"/>
  <c r="D38"/>
  <c r="K38" s="1"/>
  <c r="K37"/>
  <c r="D37"/>
  <c r="L37" s="1"/>
  <c r="L36"/>
  <c r="K36"/>
  <c r="D35"/>
  <c r="K35" s="1"/>
  <c r="D34"/>
  <c r="L34" s="1"/>
  <c r="L33"/>
  <c r="D33"/>
  <c r="K33" s="1"/>
  <c r="L32"/>
  <c r="K32"/>
  <c r="L31"/>
  <c r="K31"/>
  <c r="L30"/>
  <c r="K30"/>
  <c r="D30"/>
  <c r="D29"/>
  <c r="K29" s="1"/>
  <c r="D28"/>
  <c r="L28" s="1"/>
  <c r="D27"/>
  <c r="K27" s="1"/>
  <c r="D26"/>
  <c r="L26" s="1"/>
  <c r="D25"/>
  <c r="K25" s="1"/>
  <c r="L24"/>
  <c r="K24"/>
  <c r="D24"/>
  <c r="D23"/>
  <c r="D39" s="1"/>
  <c r="L39" s="1"/>
  <c r="D22"/>
  <c r="L22" s="1"/>
  <c r="L21"/>
  <c r="D21"/>
  <c r="K21" s="1"/>
  <c r="L20"/>
  <c r="K20"/>
  <c r="D20"/>
  <c r="L19"/>
  <c r="K19"/>
  <c r="K28" l="1"/>
  <c r="K22"/>
  <c r="L27"/>
  <c r="K26"/>
  <c r="K34"/>
  <c r="D40"/>
  <c r="K39"/>
  <c r="L25"/>
  <c r="L29"/>
  <c r="L35"/>
  <c r="L38"/>
  <c r="L23"/>
  <c r="K23"/>
  <c r="L40" l="1"/>
  <c r="C15" s="1"/>
  <c r="H15" s="1"/>
  <c r="K40"/>
  <c r="C16" s="1"/>
</calcChain>
</file>

<file path=xl/sharedStrings.xml><?xml version="1.0" encoding="utf-8"?>
<sst xmlns="http://schemas.openxmlformats.org/spreadsheetml/2006/main" count="103" uniqueCount="96">
  <si>
    <t>Артикул</t>
  </si>
  <si>
    <t>Номенклатура</t>
  </si>
  <si>
    <t>Дилер</t>
  </si>
  <si>
    <t>РРЦ</t>
  </si>
  <si>
    <t>Кол-во</t>
  </si>
  <si>
    <t>ВЕС ДЕТАЛИ</t>
  </si>
  <si>
    <t>ВЕС ЛИНИИ</t>
  </si>
  <si>
    <t>vpro CL S01</t>
  </si>
  <si>
    <t>vpro CL AT01</t>
  </si>
  <si>
    <t>Концевой анкер</t>
  </si>
  <si>
    <t>vpro CL AT02</t>
  </si>
  <si>
    <t>vpro CL AT11</t>
  </si>
  <si>
    <t>Промежуточная анкерная точка</t>
  </si>
  <si>
    <t>vpro CL AT12</t>
  </si>
  <si>
    <t>vpro CL HB01</t>
  </si>
  <si>
    <t>Поворотная трубка</t>
  </si>
  <si>
    <t>Поворотная пластина</t>
  </si>
  <si>
    <t>vpro CL M01</t>
  </si>
  <si>
    <t>Мобильная анкерная точка</t>
  </si>
  <si>
    <t>vpro CL M02</t>
  </si>
  <si>
    <t>Натяжитель троса М12 закрытый н/ж</t>
  </si>
  <si>
    <t>vpro CL H03</t>
  </si>
  <si>
    <t>Цанговый зажим для троса</t>
  </si>
  <si>
    <t>Трос 7/19 8мм ss (цена за 1м)</t>
  </si>
  <si>
    <t>Карабин Link 10 ss</t>
  </si>
  <si>
    <t>Введите длину анкерной системы:</t>
  </si>
  <si>
    <t>Ведите количество поворотов анкерной системы:</t>
  </si>
  <si>
    <t>Колонна здания</t>
  </si>
  <si>
    <t xml:space="preserve">Стена здания </t>
  </si>
  <si>
    <t xml:space="preserve">Балка перекрытия </t>
  </si>
  <si>
    <t>Кровля ж/б</t>
  </si>
  <si>
    <t>Кровля мягкая или профилированная</t>
  </si>
  <si>
    <t>Выберете "Фактор" работы системы:</t>
  </si>
  <si>
    <t>Выберете тип несущей конструкции:</t>
  </si>
  <si>
    <t>Выберете количество пользователей:</t>
  </si>
  <si>
    <t>Выберете тип клиента:</t>
  </si>
  <si>
    <t>Розница</t>
  </si>
  <si>
    <t>Стоимость</t>
  </si>
  <si>
    <t>Итоговая стоимость:</t>
  </si>
  <si>
    <t>Калькулятор анкерной системы ТРОСЛАЙН</t>
  </si>
  <si>
    <t>Вес линии для транспортирования, кг:</t>
  </si>
  <si>
    <t>Изображение</t>
  </si>
  <si>
    <t>Пломбировочный комплект для АЛ «ТРОСЛАЙН» (табличка, пломбы 20шт., пломба металл. 2шт.)</t>
  </si>
  <si>
    <t>Чтобы рассчитать стоимость анкерной системы ТРОСЛАЙН необходимо выбрать из списка категорию цены по прайс-листу, ввести длтну анкерной линии, количество ее поворотов, фактор падения (0,1,2) и выбрать тип несущей конструкции, на который предполагается монтаж системы. И остается только указать количество пользователей! Снизу смотрим общую стоимость с НДС и массу груза для расчета доставки до клиента</t>
  </si>
  <si>
    <t>vpro CL PK</t>
  </si>
  <si>
    <t>Эксклюзив</t>
  </si>
  <si>
    <t>Дистрибьютор</t>
  </si>
  <si>
    <t>ОПТ</t>
  </si>
  <si>
    <t>vpro A421</t>
  </si>
  <si>
    <t>vpro A301</t>
  </si>
  <si>
    <t>Анкерное устройство Столбик Профнастил (1 пользователь)</t>
  </si>
  <si>
    <t>Анкерное устройство Пост столбик (1 пользователь)</t>
  </si>
  <si>
    <t xml:space="preserve">Амортизатор </t>
  </si>
  <si>
    <t>vpro 0013</t>
  </si>
  <si>
    <t>vpro TL ZT 1ss</t>
  </si>
  <si>
    <t>vpro CL HB02</t>
  </si>
  <si>
    <t>vpro SW12ss</t>
  </si>
  <si>
    <t>vpro T08ss</t>
  </si>
  <si>
    <t>vpro L10ss</t>
  </si>
  <si>
    <t xml:space="preserve">ЛИФТ заделка троса (1 конец) </t>
  </si>
  <si>
    <t>Карабин «Стальной Овал» с муфтой</t>
  </si>
  <si>
    <t>Сварочный узел кронштейна АТ02</t>
  </si>
  <si>
    <t>vpro CL WP11</t>
  </si>
  <si>
    <t>vpro CL WP12</t>
  </si>
  <si>
    <t>vpro CL   WP02</t>
  </si>
  <si>
    <t>Сварочный узел   кронштейна АТ11</t>
  </si>
  <si>
    <t>Сварочный узел   кронштейна АТ12</t>
  </si>
  <si>
    <t>Установка под сварку</t>
  </si>
  <si>
    <t>Итого на 2 стороны:</t>
  </si>
  <si>
    <t>Адрес объекта</t>
  </si>
  <si>
    <t>Кол-во объектов</t>
  </si>
  <si>
    <t>Кол-во монтажников, чел.</t>
  </si>
  <si>
    <t>Наименование проекта</t>
  </si>
  <si>
    <t>Кол-во дней выезда на обследование</t>
  </si>
  <si>
    <t>Кол-во дней на СМР, к.д</t>
  </si>
  <si>
    <t>№п/п</t>
  </si>
  <si>
    <t>Стоимость в ТКП, руб. с НДС</t>
  </si>
  <si>
    <t>1.</t>
  </si>
  <si>
    <t>Оборудование страховочных систем</t>
  </si>
  <si>
    <t>Анкерная линия - коллективные средства защиты</t>
  </si>
  <si>
    <t>2.</t>
  </si>
  <si>
    <t>3.</t>
  </si>
  <si>
    <t xml:space="preserve">СМР под ключ </t>
  </si>
  <si>
    <t>4.</t>
  </si>
  <si>
    <t>Доставка оборудования до объекта</t>
  </si>
  <si>
    <t>6.</t>
  </si>
  <si>
    <t>Обучение сотрудников предприятия безопасной эксплуатации страховочного оборудования и методам работы на высоте с его использованием</t>
  </si>
  <si>
    <t>Итого, руб. с НДС:</t>
  </si>
  <si>
    <t>1.2</t>
  </si>
  <si>
    <t>1.3</t>
  </si>
  <si>
    <t>Разработка проектной документации, включая выезд на предпроектное обследование</t>
  </si>
  <si>
    <t>Инерционное блокирующее устройство с втяжной лентой НВ-03 vpro HB03 - 6 шт. (2 по 3)</t>
  </si>
  <si>
    <t>Кронштейн</t>
  </si>
  <si>
    <t>Анкерная линия 
ТР ТС 019/2011  "Трослайн" vpro CL 10
Рельсовые пути кранов зав. № 112, уч. № 34058 и зав. № 125, уч. № 34059, турбинное отделение ряд А – Б, отм.21, оси 1-27 
филиала «Шатурская ГРЭС» ПАО «Юнипро».
Две нитки кранового пути по 156 п. м.</t>
  </si>
  <si>
    <t>Шатурская ГРЭС</t>
  </si>
  <si>
    <t>г. Шатура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</si>
</sst>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17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Arial"/>
      <family val="2"/>
      <charset val="204"/>
    </font>
    <font>
      <sz val="18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i/>
      <sz val="10"/>
      <color rgb="FF000000"/>
      <name val="Calibri"/>
      <family val="2"/>
      <charset val="204"/>
    </font>
    <font>
      <sz val="11"/>
      <color theme="1"/>
      <name val="Arial"/>
    </font>
    <font>
      <sz val="11"/>
      <color theme="1"/>
      <name val="Arial"/>
      <family val="2"/>
      <charset val="204"/>
    </font>
    <font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b/>
      <sz val="11"/>
      <color theme="1"/>
      <name val="Arial Narrow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1BE56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3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auto="1"/>
      </top>
      <bottom style="thin">
        <color rgb="FF333333"/>
      </bottom>
      <diagonal/>
    </border>
    <border>
      <left/>
      <right style="thin">
        <color rgb="FF333333"/>
      </right>
      <top style="thin">
        <color auto="1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71">
    <xf numFmtId="0" fontId="0" fillId="0" borderId="0" xfId="0"/>
    <xf numFmtId="0" fontId="1" fillId="0" borderId="0" xfId="0" applyFont="1" applyBorder="1" applyAlignment="1">
      <alignment wrapText="1"/>
    </xf>
    <xf numFmtId="0" fontId="0" fillId="0" borderId="0" xfId="0" applyBorder="1"/>
    <xf numFmtId="0" fontId="0" fillId="0" borderId="1" xfId="0" applyBorder="1" applyAlignment="1">
      <alignment horizontal="center" vertical="center"/>
    </xf>
    <xf numFmtId="164" fontId="3" fillId="0" borderId="3" xfId="0" applyNumberFormat="1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4" fillId="0" borderId="0" xfId="0" applyFont="1" applyAlignment="1">
      <alignment horizontal="center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/>
    <xf numFmtId="0" fontId="4" fillId="0" borderId="0" xfId="0" applyFont="1" applyAlignment="1">
      <alignment wrapText="1"/>
    </xf>
    <xf numFmtId="0" fontId="6" fillId="0" borderId="9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4" fontId="6" fillId="2" borderId="1" xfId="0" applyNumberFormat="1" applyFont="1" applyFill="1" applyBorder="1" applyAlignment="1">
      <alignment vertical="center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center" vertical="center" wrapText="1"/>
    </xf>
    <xf numFmtId="4" fontId="6" fillId="2" borderId="13" xfId="0" applyNumberFormat="1" applyFon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4" fontId="6" fillId="2" borderId="15" xfId="0" applyNumberFormat="1" applyFont="1" applyFill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4" fontId="9" fillId="2" borderId="1" xfId="0" applyNumberFormat="1" applyFont="1" applyFill="1" applyBorder="1" applyAlignment="1">
      <alignment vertical="center"/>
    </xf>
    <xf numFmtId="0" fontId="11" fillId="0" borderId="0" xfId="1" applyFont="1" applyAlignment="1"/>
    <xf numFmtId="0" fontId="12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 vertical="center" wrapText="1"/>
    </xf>
    <xf numFmtId="0" fontId="12" fillId="5" borderId="0" xfId="1" applyFont="1" applyFill="1" applyBorder="1"/>
    <xf numFmtId="0" fontId="12" fillId="6" borderId="0" xfId="1" applyFont="1" applyFill="1" applyBorder="1"/>
    <xf numFmtId="0" fontId="12" fillId="7" borderId="0" xfId="1" applyFont="1" applyFill="1" applyBorder="1"/>
    <xf numFmtId="0" fontId="13" fillId="0" borderId="1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top" wrapText="1"/>
    </xf>
    <xf numFmtId="0" fontId="12" fillId="10" borderId="0" xfId="1" applyFont="1" applyFill="1" applyBorder="1"/>
    <xf numFmtId="0" fontId="12" fillId="0" borderId="0" xfId="1" applyFont="1" applyBorder="1"/>
    <xf numFmtId="0" fontId="10" fillId="0" borderId="0" xfId="1" applyFont="1" applyAlignment="1"/>
    <xf numFmtId="0" fontId="16" fillId="0" borderId="0" xfId="1" applyFont="1" applyBorder="1"/>
    <xf numFmtId="0" fontId="12" fillId="4" borderId="0" xfId="1" applyFont="1" applyFill="1" applyBorder="1"/>
    <xf numFmtId="0" fontId="12" fillId="0" borderId="0" xfId="1" applyFont="1" applyBorder="1" applyAlignment="1">
      <alignment vertical="center"/>
    </xf>
    <xf numFmtId="1" fontId="12" fillId="0" borderId="0" xfId="1" applyNumberFormat="1" applyFont="1" applyBorder="1" applyAlignment="1">
      <alignment horizontal="center"/>
    </xf>
    <xf numFmtId="0" fontId="13" fillId="9" borderId="1" xfId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 wrapText="1"/>
    </xf>
    <xf numFmtId="4" fontId="14" fillId="9" borderId="1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Border="1" applyAlignment="1">
      <alignment horizontal="right" vertical="center"/>
    </xf>
    <xf numFmtId="0" fontId="16" fillId="0" borderId="1" xfId="1" applyFont="1" applyBorder="1" applyAlignment="1">
      <alignment vertical="center" wrapText="1"/>
    </xf>
    <xf numFmtId="4" fontId="13" fillId="9" borderId="1" xfId="1" applyNumberFormat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4" fontId="16" fillId="9" borderId="5" xfId="1" applyNumberFormat="1" applyFont="1" applyFill="1" applyBorder="1" applyAlignment="1">
      <alignment horizontal="center"/>
    </xf>
    <xf numFmtId="164" fontId="1" fillId="4" borderId="0" xfId="0" applyNumberFormat="1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wrapText="1"/>
    </xf>
    <xf numFmtId="0" fontId="0" fillId="0" borderId="2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0" fontId="13" fillId="0" borderId="1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266700</xdr:rowOff>
    </xdr:from>
    <xdr:to>
      <xdr:col>2</xdr:col>
      <xdr:colOff>2314578</xdr:colOff>
      <xdr:row>0</xdr:row>
      <xdr:rowOff>2181226</xdr:rowOff>
    </xdr:to>
    <xdr:pic>
      <xdr:nvPicPr>
        <xdr:cNvPr id="2" name="Picture 2" descr="https://ventopro.ru/sites/default/files/complex/1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6700"/>
          <a:ext cx="5842638" cy="1914526"/>
        </a:xfrm>
        <a:prstGeom prst="rect">
          <a:avLst/>
        </a:prstGeom>
        <a:noFill/>
      </xdr:spPr>
    </xdr:pic>
    <xdr:clientData/>
  </xdr:twoCellAnchor>
  <xdr:twoCellAnchor>
    <xdr:from>
      <xdr:col>12</xdr:col>
      <xdr:colOff>438148</xdr:colOff>
      <xdr:row>18</xdr:row>
      <xdr:rowOff>61912</xdr:rowOff>
    </xdr:from>
    <xdr:to>
      <xdr:col>12</xdr:col>
      <xdr:colOff>1800225</xdr:colOff>
      <xdr:row>18</xdr:row>
      <xdr:rowOff>742951</xdr:rowOff>
    </xdr:to>
    <xdr:pic>
      <xdr:nvPicPr>
        <xdr:cNvPr id="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1275" t="37209" r="15541" b="26459"/>
        <a:stretch>
          <a:fillRect/>
        </a:stretch>
      </xdr:blipFill>
      <xdr:spPr bwMode="auto">
        <a:xfrm>
          <a:off x="11197588" y="6424612"/>
          <a:ext cx="1362077" cy="6810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504822</xdr:colOff>
      <xdr:row>19</xdr:row>
      <xdr:rowOff>35273</xdr:rowOff>
    </xdr:from>
    <xdr:to>
      <xdr:col>12</xdr:col>
      <xdr:colOff>1752599</xdr:colOff>
      <xdr:row>19</xdr:row>
      <xdr:rowOff>722987</xdr:rowOff>
    </xdr:to>
    <xdr:pic>
      <xdr:nvPicPr>
        <xdr:cNvPr id="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0587" t="28868" r="13138" b="21016"/>
        <a:stretch>
          <a:fillRect/>
        </a:stretch>
      </xdr:blipFill>
      <xdr:spPr bwMode="auto">
        <a:xfrm>
          <a:off x="11264262" y="7159973"/>
          <a:ext cx="1247777" cy="68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571499</xdr:colOff>
      <xdr:row>20</xdr:row>
      <xdr:rowOff>19050</xdr:rowOff>
    </xdr:from>
    <xdr:to>
      <xdr:col>12</xdr:col>
      <xdr:colOff>1614091</xdr:colOff>
      <xdr:row>20</xdr:row>
      <xdr:rowOff>754998</xdr:rowOff>
    </xdr:to>
    <xdr:pic>
      <xdr:nvPicPr>
        <xdr:cNvPr id="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6856" t="32964" r="14667" b="25485"/>
        <a:stretch>
          <a:fillRect/>
        </a:stretch>
      </xdr:blipFill>
      <xdr:spPr bwMode="auto">
        <a:xfrm>
          <a:off x="11330939" y="7905750"/>
          <a:ext cx="1042592" cy="735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638174</xdr:colOff>
      <xdr:row>21</xdr:row>
      <xdr:rowOff>33337</xdr:rowOff>
    </xdr:from>
    <xdr:to>
      <xdr:col>12</xdr:col>
      <xdr:colOff>1752600</xdr:colOff>
      <xdr:row>21</xdr:row>
      <xdr:rowOff>748600</xdr:rowOff>
    </xdr:to>
    <xdr:pic>
      <xdr:nvPicPr>
        <xdr:cNvPr id="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5492" t="34071" r="16029" b="13850"/>
        <a:stretch>
          <a:fillRect/>
        </a:stretch>
      </xdr:blipFill>
      <xdr:spPr bwMode="auto">
        <a:xfrm>
          <a:off x="11397614" y="8682037"/>
          <a:ext cx="1114426" cy="715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523874</xdr:colOff>
      <xdr:row>22</xdr:row>
      <xdr:rowOff>4763</xdr:rowOff>
    </xdr:from>
    <xdr:to>
      <xdr:col>12</xdr:col>
      <xdr:colOff>1866900</xdr:colOff>
      <xdr:row>22</xdr:row>
      <xdr:rowOff>751405</xdr:rowOff>
    </xdr:to>
    <xdr:pic>
      <xdr:nvPicPr>
        <xdr:cNvPr id="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6548" t="35088" r="15704" b="26593"/>
        <a:stretch>
          <a:fillRect/>
        </a:stretch>
      </xdr:blipFill>
      <xdr:spPr bwMode="auto">
        <a:xfrm>
          <a:off x="11283314" y="9415463"/>
          <a:ext cx="1343026" cy="746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171449</xdr:colOff>
      <xdr:row>23</xdr:row>
      <xdr:rowOff>52388</xdr:rowOff>
    </xdr:from>
    <xdr:to>
      <xdr:col>12</xdr:col>
      <xdr:colOff>2243135</xdr:colOff>
      <xdr:row>23</xdr:row>
      <xdr:rowOff>742950</xdr:rowOff>
    </xdr:to>
    <xdr:pic>
      <xdr:nvPicPr>
        <xdr:cNvPr id="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0741" t="32964" r="10222" b="37305"/>
        <a:stretch>
          <a:fillRect/>
        </a:stretch>
      </xdr:blipFill>
      <xdr:spPr bwMode="auto">
        <a:xfrm>
          <a:off x="10930889" y="10225088"/>
          <a:ext cx="2071686" cy="690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152399</xdr:colOff>
      <xdr:row>24</xdr:row>
      <xdr:rowOff>42862</xdr:rowOff>
    </xdr:from>
    <xdr:to>
      <xdr:col>12</xdr:col>
      <xdr:colOff>2038350</xdr:colOff>
      <xdr:row>24</xdr:row>
      <xdr:rowOff>732349</xdr:rowOff>
    </xdr:to>
    <xdr:pic>
      <xdr:nvPicPr>
        <xdr:cNvPr id="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55150" t="42723" r="3151" b="21178"/>
        <a:stretch>
          <a:fillRect/>
        </a:stretch>
      </xdr:blipFill>
      <xdr:spPr bwMode="auto">
        <a:xfrm>
          <a:off x="10911839" y="10977562"/>
          <a:ext cx="1885951" cy="689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487800</xdr:colOff>
      <xdr:row>26</xdr:row>
      <xdr:rowOff>52388</xdr:rowOff>
    </xdr:from>
    <xdr:to>
      <xdr:col>12</xdr:col>
      <xdr:colOff>1714499</xdr:colOff>
      <xdr:row>26</xdr:row>
      <xdr:rowOff>721877</xdr:rowOff>
    </xdr:to>
    <xdr:pic>
      <xdr:nvPicPr>
        <xdr:cNvPr id="1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391" t="41460" r="78363" b="42043"/>
        <a:stretch>
          <a:fillRect/>
        </a:stretch>
      </xdr:blipFill>
      <xdr:spPr bwMode="auto">
        <a:xfrm>
          <a:off x="11247240" y="12511088"/>
          <a:ext cx="1226699" cy="669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304799</xdr:colOff>
      <xdr:row>27</xdr:row>
      <xdr:rowOff>14288</xdr:rowOff>
    </xdr:from>
    <xdr:to>
      <xdr:col>12</xdr:col>
      <xdr:colOff>1933574</xdr:colOff>
      <xdr:row>27</xdr:row>
      <xdr:rowOff>532534</xdr:rowOff>
    </xdr:to>
    <xdr:pic>
      <xdr:nvPicPr>
        <xdr:cNvPr id="11" name="Рисунок 10" descr="St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64239" y="13234988"/>
          <a:ext cx="1628775" cy="518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476248</xdr:colOff>
      <xdr:row>28</xdr:row>
      <xdr:rowOff>109538</xdr:rowOff>
    </xdr:from>
    <xdr:to>
      <xdr:col>12</xdr:col>
      <xdr:colOff>1789727</xdr:colOff>
      <xdr:row>28</xdr:row>
      <xdr:rowOff>642938</xdr:rowOff>
    </xdr:to>
    <xdr:pic>
      <xdr:nvPicPr>
        <xdr:cNvPr id="12" name="Picture 46" descr="Картинки по запросу зажим цанговый с кольцом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6667" t="7434" r="19011" b="43060"/>
        <a:stretch>
          <a:fillRect/>
        </a:stretch>
      </xdr:blipFill>
      <xdr:spPr bwMode="auto">
        <a:xfrm>
          <a:off x="11235688" y="14092238"/>
          <a:ext cx="131347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466724</xdr:colOff>
      <xdr:row>31</xdr:row>
      <xdr:rowOff>119062</xdr:rowOff>
    </xdr:from>
    <xdr:to>
      <xdr:col>12</xdr:col>
      <xdr:colOff>1847849</xdr:colOff>
      <xdr:row>31</xdr:row>
      <xdr:rowOff>666815</xdr:rowOff>
    </xdr:to>
    <xdr:pic>
      <xdr:nvPicPr>
        <xdr:cNvPr id="13" name="Рисунок 5" descr="St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226164" y="16387762"/>
          <a:ext cx="1381125" cy="547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1533525</xdr:colOff>
      <xdr:row>35</xdr:row>
      <xdr:rowOff>280988</xdr:rowOff>
    </xdr:from>
    <xdr:ext cx="685800" cy="352425"/>
    <xdr:pic>
      <xdr:nvPicPr>
        <xdr:cNvPr id="14" name="Рисунок 13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102" t="40092" r="78304" b="32037"/>
        <a:stretch>
          <a:fillRect/>
        </a:stretch>
      </xdr:blipFill>
      <xdr:spPr bwMode="auto">
        <a:xfrm>
          <a:off x="12292965" y="17860328"/>
          <a:ext cx="685800" cy="3524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571500</xdr:colOff>
      <xdr:row>35</xdr:row>
      <xdr:rowOff>214312</xdr:rowOff>
    </xdr:from>
    <xdr:to>
      <xdr:col>12</xdr:col>
      <xdr:colOff>1305386</xdr:colOff>
      <xdr:row>35</xdr:row>
      <xdr:rowOff>623887</xdr:rowOff>
    </xdr:to>
    <xdr:pic>
      <xdr:nvPicPr>
        <xdr:cNvPr id="1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56770" t="33730" r="21071" b="19398"/>
        <a:stretch>
          <a:fillRect/>
        </a:stretch>
      </xdr:blipFill>
      <xdr:spPr bwMode="auto">
        <a:xfrm>
          <a:off x="11330940" y="17793652"/>
          <a:ext cx="733886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561975</xdr:colOff>
      <xdr:row>29</xdr:row>
      <xdr:rowOff>90490</xdr:rowOff>
    </xdr:from>
    <xdr:to>
      <xdr:col>12</xdr:col>
      <xdr:colOff>1600199</xdr:colOff>
      <xdr:row>29</xdr:row>
      <xdr:rowOff>652464</xdr:rowOff>
    </xdr:to>
    <xdr:pic>
      <xdr:nvPicPr>
        <xdr:cNvPr id="16" name="Рисунок 15" descr="St6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1321415" y="14835190"/>
          <a:ext cx="1038224" cy="561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590550</xdr:colOff>
      <xdr:row>36</xdr:row>
      <xdr:rowOff>38100</xdr:rowOff>
    </xdr:from>
    <xdr:to>
      <xdr:col>12</xdr:col>
      <xdr:colOff>1436343</xdr:colOff>
      <xdr:row>39</xdr:row>
      <xdr:rowOff>553458</xdr:rowOff>
    </xdr:to>
    <xdr:pic>
      <xdr:nvPicPr>
        <xdr:cNvPr id="17" name="Рисунок 16" descr="https://ventopro.ru/sites/default/files/styles/product_page/public/catalog/products/img_1161.png?itok=nbKbKPB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9990" y="18379440"/>
          <a:ext cx="845793" cy="7363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904875</xdr:colOff>
      <xdr:row>37</xdr:row>
      <xdr:rowOff>57150</xdr:rowOff>
    </xdr:from>
    <xdr:to>
      <xdr:col>12</xdr:col>
      <xdr:colOff>1236015</xdr:colOff>
      <xdr:row>39</xdr:row>
      <xdr:rowOff>493392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664315" y="19160490"/>
          <a:ext cx="331140" cy="676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480060</xdr:colOff>
      <xdr:row>39</xdr:row>
      <xdr:rowOff>144780</xdr:rowOff>
    </xdr:from>
    <xdr:to>
      <xdr:col>12</xdr:col>
      <xdr:colOff>1409700</xdr:colOff>
      <xdr:row>39</xdr:row>
      <xdr:rowOff>609600</xdr:rowOff>
    </xdr:to>
    <xdr:pic>
      <xdr:nvPicPr>
        <xdr:cNvPr id="19" name="Рисунок 81" descr="https://vento.ru/sites/default/files/catalog/karabin-oval-sta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239500" y="20193000"/>
          <a:ext cx="9296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962025</xdr:colOff>
      <xdr:row>25</xdr:row>
      <xdr:rowOff>76200</xdr:rowOff>
    </xdr:from>
    <xdr:to>
      <xdr:col>12</xdr:col>
      <xdr:colOff>1381125</xdr:colOff>
      <xdr:row>25</xdr:row>
      <xdr:rowOff>638175</xdr:rowOff>
    </xdr:to>
    <xdr:pic>
      <xdr:nvPicPr>
        <xdr:cNvPr id="20" name="Picture 2" descr="Снимок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21465" y="11772900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685800</xdr:colOff>
      <xdr:row>30</xdr:row>
      <xdr:rowOff>152400</xdr:rowOff>
    </xdr:from>
    <xdr:to>
      <xdr:col>12</xdr:col>
      <xdr:colOff>1400175</xdr:colOff>
      <xdr:row>30</xdr:row>
      <xdr:rowOff>609600</xdr:rowOff>
    </xdr:to>
    <xdr:pic>
      <xdr:nvPicPr>
        <xdr:cNvPr id="2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12048" b="15654"/>
        <a:stretch>
          <a:fillRect/>
        </a:stretch>
      </xdr:blipFill>
      <xdr:spPr bwMode="auto">
        <a:xfrm>
          <a:off x="11445240" y="15659100"/>
          <a:ext cx="7143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45"/>
  <sheetViews>
    <sheetView topLeftCell="A32" workbookViewId="0">
      <selection activeCell="A37" sqref="A37:XFD38"/>
    </sheetView>
  </sheetViews>
  <sheetFormatPr defaultColWidth="0" defaultRowHeight="14.4" customHeight="1" zeroHeight="1"/>
  <cols>
    <col min="1" max="1" width="17.5546875" customWidth="1"/>
    <col min="2" max="2" width="33.88671875" customWidth="1"/>
    <col min="3" max="3" width="35.33203125" customWidth="1"/>
    <col min="4" max="4" width="7.33203125" customWidth="1"/>
    <col min="5" max="7" width="7.5546875" bestFit="1" customWidth="1"/>
    <col min="8" max="8" width="12.77734375" customWidth="1"/>
    <col min="9" max="9" width="9.109375" customWidth="1"/>
    <col min="10" max="10" width="8.33203125" bestFit="1" customWidth="1"/>
    <col min="11" max="11" width="7.33203125" bestFit="1" customWidth="1"/>
    <col min="12" max="12" width="10.109375" customWidth="1"/>
    <col min="13" max="13" width="36.109375" customWidth="1"/>
    <col min="14" max="14" width="34.33203125" hidden="1" customWidth="1"/>
    <col min="15" max="16384" width="9.109375" hidden="1"/>
  </cols>
  <sheetData>
    <row r="1" spans="1:23" ht="186" customHeight="1">
      <c r="A1" s="67" t="s">
        <v>39</v>
      </c>
      <c r="B1" s="67"/>
      <c r="C1" s="6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spans="1:23" ht="75.75" customHeight="1">
      <c r="A2" s="68" t="s">
        <v>43</v>
      </c>
      <c r="B2" s="68"/>
      <c r="C2" s="6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>
      <c r="A3" s="64" t="s">
        <v>35</v>
      </c>
      <c r="B3" s="64"/>
      <c r="C3" s="3" t="s">
        <v>36</v>
      </c>
      <c r="N3">
        <v>0</v>
      </c>
    </row>
    <row r="4" spans="1:23">
      <c r="A4" s="64" t="s">
        <v>25</v>
      </c>
      <c r="B4" s="64"/>
      <c r="C4" s="3">
        <v>156</v>
      </c>
      <c r="N4">
        <v>1</v>
      </c>
    </row>
    <row r="5" spans="1:23">
      <c r="A5" s="64" t="s">
        <v>26</v>
      </c>
      <c r="B5" s="64"/>
      <c r="C5" s="3">
        <v>0</v>
      </c>
      <c r="N5">
        <v>2</v>
      </c>
    </row>
    <row r="6" spans="1:23">
      <c r="A6" s="64" t="s">
        <v>32</v>
      </c>
      <c r="B6" s="64"/>
      <c r="C6" s="3">
        <v>0</v>
      </c>
      <c r="N6" t="s">
        <v>28</v>
      </c>
    </row>
    <row r="7" spans="1:23">
      <c r="A7" s="64" t="s">
        <v>33</v>
      </c>
      <c r="B7" s="64"/>
      <c r="C7" s="3" t="s">
        <v>27</v>
      </c>
      <c r="N7" t="s">
        <v>27</v>
      </c>
    </row>
    <row r="8" spans="1:23">
      <c r="A8" s="64" t="s">
        <v>34</v>
      </c>
      <c r="B8" s="64"/>
      <c r="C8" s="3">
        <v>3</v>
      </c>
      <c r="N8" t="s">
        <v>29</v>
      </c>
    </row>
    <row r="9" spans="1:23">
      <c r="N9" t="s">
        <v>30</v>
      </c>
    </row>
    <row r="10" spans="1:23" hidden="1">
      <c r="N10" t="s">
        <v>31</v>
      </c>
    </row>
    <row r="11" spans="1:23" hidden="1">
      <c r="N11" t="s">
        <v>67</v>
      </c>
    </row>
    <row r="12" spans="1:23" hidden="1">
      <c r="A12" s="65"/>
      <c r="B12" s="65"/>
      <c r="N12">
        <v>1</v>
      </c>
    </row>
    <row r="13" spans="1:23" hidden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N13">
        <v>2</v>
      </c>
    </row>
    <row r="14" spans="1:23" ht="15" thickBo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N14">
        <v>3</v>
      </c>
    </row>
    <row r="15" spans="1:23" ht="21.6" customHeight="1" thickBot="1">
      <c r="A15" s="1"/>
      <c r="B15" s="7" t="s">
        <v>38</v>
      </c>
      <c r="C15" s="4">
        <f>SUM(L19:L40)</f>
        <v>346370</v>
      </c>
      <c r="D15" s="1"/>
      <c r="E15" s="66" t="s">
        <v>68</v>
      </c>
      <c r="F15" s="66"/>
      <c r="G15" s="66"/>
      <c r="H15" s="63">
        <f>C15*2</f>
        <v>692740</v>
      </c>
      <c r="I15" s="63"/>
      <c r="J15" s="1"/>
      <c r="K15" s="1"/>
      <c r="L15" s="1"/>
    </row>
    <row r="16" spans="1:23" ht="27.6" thickBot="1">
      <c r="A16" s="1"/>
      <c r="B16" s="5" t="s">
        <v>40</v>
      </c>
      <c r="C16" s="6">
        <f>SUM(K19:K40)</f>
        <v>77.268000000000001</v>
      </c>
      <c r="D16" s="1"/>
      <c r="E16" s="1"/>
      <c r="F16" s="1"/>
      <c r="G16" s="1"/>
      <c r="H16" s="1"/>
      <c r="I16" s="1"/>
      <c r="J16" s="1"/>
      <c r="K16" s="1"/>
      <c r="L16" s="1"/>
    </row>
    <row r="17" spans="1:1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N17" t="s">
        <v>47</v>
      </c>
    </row>
    <row r="18" spans="1:14" ht="60" customHeight="1">
      <c r="B18" s="12" t="s">
        <v>0</v>
      </c>
      <c r="C18" s="12" t="s">
        <v>1</v>
      </c>
      <c r="D18" s="11" t="s">
        <v>4</v>
      </c>
      <c r="E18" s="12"/>
      <c r="F18" s="13"/>
      <c r="G18" s="12" t="s">
        <v>2</v>
      </c>
      <c r="H18" s="12"/>
      <c r="I18" s="12" t="s">
        <v>3</v>
      </c>
      <c r="J18" s="12" t="s">
        <v>5</v>
      </c>
      <c r="K18" s="12" t="s">
        <v>6</v>
      </c>
      <c r="L18" s="13" t="s">
        <v>37</v>
      </c>
      <c r="M18" s="3" t="s">
        <v>41</v>
      </c>
      <c r="N18" s="9" t="s">
        <v>36</v>
      </c>
    </row>
    <row r="19" spans="1:14" ht="60" customHeight="1">
      <c r="B19" s="19" t="s">
        <v>7</v>
      </c>
      <c r="C19" s="18" t="s">
        <v>52</v>
      </c>
      <c r="D19" s="12">
        <v>2</v>
      </c>
      <c r="E19" s="24"/>
      <c r="F19" s="24"/>
      <c r="G19" s="24">
        <v>1325</v>
      </c>
      <c r="H19" s="24"/>
      <c r="I19" s="24">
        <v>1990</v>
      </c>
      <c r="J19" s="12">
        <v>0.67</v>
      </c>
      <c r="K19" s="12">
        <f t="shared" ref="K19:K39" si="0">J19*D19</f>
        <v>1.34</v>
      </c>
      <c r="L19" s="3">
        <f t="shared" ref="L19:L40" si="1">IF($C$3=$N$18,I19*D19,0)+IF($C$3=$N$19,E19*D19,0)+IF($C$3=$N$20,G19*D19,0)+IF($C$3=$N$21,F19*D19,0)+IF($C$3=$N$17,H19*D19,0)</f>
        <v>3980</v>
      </c>
      <c r="M19" s="3"/>
      <c r="N19" t="s">
        <v>45</v>
      </c>
    </row>
    <row r="20" spans="1:14" ht="60" hidden="1" customHeight="1">
      <c r="B20" s="19" t="s">
        <v>8</v>
      </c>
      <c r="C20" s="18" t="s">
        <v>9</v>
      </c>
      <c r="D20" s="12">
        <f>IF(C7=N9,2,0)+IF(C7=N10,2,0)+IF(N8=C7,2,0)</f>
        <v>0</v>
      </c>
      <c r="E20" s="24"/>
      <c r="F20" s="24"/>
      <c r="G20" s="24">
        <v>1995</v>
      </c>
      <c r="H20" s="24"/>
      <c r="I20" s="24">
        <v>2990</v>
      </c>
      <c r="J20" s="12">
        <v>0.3</v>
      </c>
      <c r="K20" s="12">
        <f t="shared" si="0"/>
        <v>0</v>
      </c>
      <c r="L20" s="3">
        <f t="shared" si="1"/>
        <v>0</v>
      </c>
      <c r="M20" s="3"/>
      <c r="N20" t="s">
        <v>2</v>
      </c>
    </row>
    <row r="21" spans="1:14" ht="60" customHeight="1">
      <c r="B21" s="19" t="s">
        <v>10</v>
      </c>
      <c r="C21" s="18" t="s">
        <v>9</v>
      </c>
      <c r="D21" s="12">
        <f>IF(C7=N6,2,0)+IF(C7=N7,2,0)+IF(C7=N11,2,0)</f>
        <v>2</v>
      </c>
      <c r="E21" s="24"/>
      <c r="F21" s="24"/>
      <c r="G21" s="24">
        <v>2660</v>
      </c>
      <c r="H21" s="24"/>
      <c r="I21" s="24">
        <v>3990</v>
      </c>
      <c r="J21" s="12">
        <v>0.41</v>
      </c>
      <c r="K21" s="12">
        <f t="shared" si="0"/>
        <v>0.82</v>
      </c>
      <c r="L21" s="3">
        <f t="shared" si="1"/>
        <v>7980</v>
      </c>
      <c r="M21" s="3"/>
      <c r="N21" t="s">
        <v>46</v>
      </c>
    </row>
    <row r="22" spans="1:14" ht="60" hidden="1" customHeight="1">
      <c r="B22" s="19" t="s">
        <v>11</v>
      </c>
      <c r="C22" s="18" t="s">
        <v>12</v>
      </c>
      <c r="D22" s="12">
        <f>IF(C6=N4,(CEILING(C4/12,1)-1+2*C5),0)+IF(C6=N5,(CEILING(C4/12,1)-1+2*C5),0)+IF(C6=N11,(CEILING(C4/12,1)-1+2*C5),0)</f>
        <v>0</v>
      </c>
      <c r="E22" s="24"/>
      <c r="F22" s="24"/>
      <c r="G22" s="24">
        <v>3995</v>
      </c>
      <c r="H22" s="24"/>
      <c r="I22" s="24">
        <v>5990</v>
      </c>
      <c r="J22" s="12">
        <v>0.64</v>
      </c>
      <c r="K22" s="12">
        <f t="shared" si="0"/>
        <v>0</v>
      </c>
      <c r="L22" s="3">
        <f t="shared" si="1"/>
        <v>0</v>
      </c>
      <c r="M22" s="3"/>
      <c r="N22" s="10">
        <v>1</v>
      </c>
    </row>
    <row r="23" spans="1:14" ht="60" customHeight="1">
      <c r="B23" s="19" t="s">
        <v>13</v>
      </c>
      <c r="C23" s="18" t="s">
        <v>12</v>
      </c>
      <c r="D23" s="12">
        <f>IF(C6=N3,CEILING((C4/12),1)-1+2*C5,0)+IF(C6=N11,CEILING((C4/12),1)-1+2*C5,0)</f>
        <v>12</v>
      </c>
      <c r="E23" s="24"/>
      <c r="F23" s="24"/>
      <c r="G23" s="24">
        <v>3995</v>
      </c>
      <c r="H23" s="24"/>
      <c r="I23" s="24">
        <v>5990</v>
      </c>
      <c r="J23" s="12">
        <v>0.85</v>
      </c>
      <c r="K23" s="12">
        <f t="shared" si="0"/>
        <v>10.199999999999999</v>
      </c>
      <c r="L23" s="3">
        <f t="shared" si="1"/>
        <v>71880</v>
      </c>
      <c r="M23" s="3"/>
      <c r="N23" s="10">
        <v>20</v>
      </c>
    </row>
    <row r="24" spans="1:14" ht="60" hidden="1" customHeight="1">
      <c r="B24" s="19" t="s">
        <v>14</v>
      </c>
      <c r="C24" s="18" t="s">
        <v>15</v>
      </c>
      <c r="D24" s="12">
        <f>C5</f>
        <v>0</v>
      </c>
      <c r="E24" s="24"/>
      <c r="F24" s="24"/>
      <c r="G24" s="24">
        <v>1995</v>
      </c>
      <c r="H24" s="24"/>
      <c r="I24" s="24">
        <v>2990</v>
      </c>
      <c r="J24" s="12">
        <v>0.3</v>
      </c>
      <c r="K24" s="12">
        <f t="shared" si="0"/>
        <v>0</v>
      </c>
      <c r="L24" s="3">
        <f t="shared" si="1"/>
        <v>0</v>
      </c>
      <c r="M24" s="3"/>
    </row>
    <row r="25" spans="1:14" ht="60" hidden="1" customHeight="1">
      <c r="B25" s="19" t="s">
        <v>55</v>
      </c>
      <c r="C25" s="18" t="s">
        <v>16</v>
      </c>
      <c r="D25" s="12">
        <f>D24</f>
        <v>0</v>
      </c>
      <c r="E25" s="24"/>
      <c r="F25" s="24"/>
      <c r="G25" s="24">
        <v>4660</v>
      </c>
      <c r="H25" s="24"/>
      <c r="I25" s="24">
        <v>6990</v>
      </c>
      <c r="J25" s="12">
        <v>3.1</v>
      </c>
      <c r="K25" s="12">
        <f t="shared" si="0"/>
        <v>0</v>
      </c>
      <c r="L25" s="3">
        <f t="shared" si="1"/>
        <v>0</v>
      </c>
      <c r="M25" s="3"/>
    </row>
    <row r="26" spans="1:14" ht="60" customHeight="1">
      <c r="B26" s="19" t="s">
        <v>17</v>
      </c>
      <c r="C26" s="18" t="s">
        <v>18</v>
      </c>
      <c r="D26" s="12">
        <f>IF(C6=N3,C8,0)</f>
        <v>3</v>
      </c>
      <c r="E26" s="24"/>
      <c r="F26" s="24"/>
      <c r="G26" s="24">
        <v>9325</v>
      </c>
      <c r="H26" s="24"/>
      <c r="I26" s="24">
        <v>13990</v>
      </c>
      <c r="J26" s="12">
        <v>1</v>
      </c>
      <c r="K26" s="12">
        <f t="shared" si="0"/>
        <v>3</v>
      </c>
      <c r="L26" s="3">
        <f t="shared" si="1"/>
        <v>41970</v>
      </c>
      <c r="M26" s="3"/>
    </row>
    <row r="27" spans="1:14" ht="60" hidden="1" customHeight="1">
      <c r="B27" s="19" t="s">
        <v>19</v>
      </c>
      <c r="C27" s="18" t="s">
        <v>18</v>
      </c>
      <c r="D27" s="12">
        <f>IF(C6=N4,C8,0)+IF(C6=N5,C8,0)</f>
        <v>0</v>
      </c>
      <c r="E27" s="24"/>
      <c r="F27" s="24"/>
      <c r="G27" s="24">
        <v>1995</v>
      </c>
      <c r="H27" s="24"/>
      <c r="I27" s="24">
        <v>2990</v>
      </c>
      <c r="J27" s="12">
        <v>0.24</v>
      </c>
      <c r="K27" s="12">
        <f t="shared" si="0"/>
        <v>0</v>
      </c>
      <c r="L27" s="3">
        <f t="shared" si="1"/>
        <v>0</v>
      </c>
      <c r="M27" s="3"/>
    </row>
    <row r="28" spans="1:14" ht="60" customHeight="1">
      <c r="B28" s="19" t="s">
        <v>56</v>
      </c>
      <c r="C28" s="18" t="s">
        <v>20</v>
      </c>
      <c r="D28" s="12">
        <f>$N$22</f>
        <v>1</v>
      </c>
      <c r="E28" s="24"/>
      <c r="F28" s="24"/>
      <c r="G28" s="24">
        <v>2125</v>
      </c>
      <c r="H28" s="24"/>
      <c r="I28" s="24">
        <v>3190</v>
      </c>
      <c r="J28" s="12">
        <v>0.65</v>
      </c>
      <c r="K28" s="12">
        <f t="shared" si="0"/>
        <v>0.65</v>
      </c>
      <c r="L28" s="3">
        <f t="shared" si="1"/>
        <v>3190</v>
      </c>
      <c r="M28" s="3"/>
    </row>
    <row r="29" spans="1:14" ht="60" customHeight="1">
      <c r="B29" s="19" t="s">
        <v>21</v>
      </c>
      <c r="C29" s="18" t="s">
        <v>22</v>
      </c>
      <c r="D29" s="12">
        <f>$N$22</f>
        <v>1</v>
      </c>
      <c r="E29" s="24"/>
      <c r="F29" s="24"/>
      <c r="G29" s="24">
        <v>6660</v>
      </c>
      <c r="H29" s="24"/>
      <c r="I29" s="24">
        <v>9990</v>
      </c>
      <c r="J29" s="12">
        <v>0.22</v>
      </c>
      <c r="K29" s="12">
        <f t="shared" si="0"/>
        <v>0.22</v>
      </c>
      <c r="L29" s="3">
        <f t="shared" si="1"/>
        <v>9990</v>
      </c>
      <c r="M29" s="3"/>
    </row>
    <row r="30" spans="1:14" ht="60" customHeight="1">
      <c r="B30" s="19" t="s">
        <v>57</v>
      </c>
      <c r="C30" s="18" t="s">
        <v>23</v>
      </c>
      <c r="D30" s="12">
        <f>C4</f>
        <v>156</v>
      </c>
      <c r="E30" s="24"/>
      <c r="F30" s="24"/>
      <c r="G30" s="24">
        <v>395</v>
      </c>
      <c r="H30" s="24"/>
      <c r="I30" s="24">
        <v>590</v>
      </c>
      <c r="J30" s="12">
        <v>0.24299999999999999</v>
      </c>
      <c r="K30" s="12">
        <f t="shared" si="0"/>
        <v>37.908000000000001</v>
      </c>
      <c r="L30" s="3">
        <f t="shared" si="1"/>
        <v>92040</v>
      </c>
      <c r="M30" s="3"/>
    </row>
    <row r="31" spans="1:14" ht="60" customHeight="1">
      <c r="B31" s="20" t="s">
        <v>54</v>
      </c>
      <c r="C31" s="18" t="s">
        <v>59</v>
      </c>
      <c r="D31" s="12">
        <v>1</v>
      </c>
      <c r="E31" s="24"/>
      <c r="F31" s="24"/>
      <c r="G31" s="24">
        <v>860</v>
      </c>
      <c r="H31" s="24"/>
      <c r="I31" s="24">
        <v>1290</v>
      </c>
      <c r="J31" s="12">
        <v>0.1</v>
      </c>
      <c r="K31" s="12">
        <f t="shared" si="0"/>
        <v>0.1</v>
      </c>
      <c r="L31" s="3">
        <f t="shared" si="1"/>
        <v>1290</v>
      </c>
      <c r="M31" s="3"/>
    </row>
    <row r="32" spans="1:14" ht="60" customHeight="1">
      <c r="B32" s="27" t="s">
        <v>58</v>
      </c>
      <c r="C32" s="28" t="s">
        <v>24</v>
      </c>
      <c r="D32" s="29">
        <v>4</v>
      </c>
      <c r="E32" s="30"/>
      <c r="F32" s="30"/>
      <c r="G32" s="30">
        <v>1395</v>
      </c>
      <c r="H32" s="30"/>
      <c r="I32" s="30">
        <v>2090</v>
      </c>
      <c r="J32" s="29">
        <v>0.15</v>
      </c>
      <c r="K32" s="29">
        <f t="shared" si="0"/>
        <v>0.6</v>
      </c>
      <c r="L32" s="31">
        <f t="shared" si="1"/>
        <v>8360</v>
      </c>
      <c r="M32" s="31"/>
    </row>
    <row r="33" spans="1:13" hidden="1">
      <c r="A33" s="1"/>
      <c r="B33" s="23" t="s">
        <v>64</v>
      </c>
      <c r="C33" s="23" t="s">
        <v>61</v>
      </c>
      <c r="D33" s="23">
        <f>IF(C7=N11,D21,0)</f>
        <v>0</v>
      </c>
      <c r="E33" s="24"/>
      <c r="F33" s="24"/>
      <c r="G33" s="24">
        <v>795</v>
      </c>
      <c r="H33" s="24"/>
      <c r="I33" s="24">
        <v>1190</v>
      </c>
      <c r="J33" s="13">
        <v>0.69</v>
      </c>
      <c r="K33" s="15">
        <f t="shared" si="0"/>
        <v>0</v>
      </c>
      <c r="L33" s="3">
        <f t="shared" si="1"/>
        <v>0</v>
      </c>
      <c r="M33" s="16"/>
    </row>
    <row r="34" spans="1:13" hidden="1">
      <c r="A34" s="1"/>
      <c r="B34" s="23" t="s">
        <v>62</v>
      </c>
      <c r="C34" s="23" t="s">
        <v>65</v>
      </c>
      <c r="D34" s="23">
        <f>IF(C7=N11,D22,0)</f>
        <v>0</v>
      </c>
      <c r="E34" s="24"/>
      <c r="F34" s="24"/>
      <c r="G34" s="24">
        <v>660</v>
      </c>
      <c r="H34" s="24"/>
      <c r="I34" s="24">
        <v>990</v>
      </c>
      <c r="J34" s="37">
        <v>0.61</v>
      </c>
      <c r="K34" s="15">
        <f t="shared" si="0"/>
        <v>0</v>
      </c>
      <c r="L34" s="3">
        <f t="shared" si="1"/>
        <v>0</v>
      </c>
      <c r="M34" s="16"/>
    </row>
    <row r="35" spans="1:13" hidden="1">
      <c r="A35" s="2"/>
      <c r="B35" s="23" t="s">
        <v>63</v>
      </c>
      <c r="C35" s="23" t="s">
        <v>66</v>
      </c>
      <c r="D35" s="23">
        <f>IF(C7=N11,D23,0)</f>
        <v>0</v>
      </c>
      <c r="E35" s="24"/>
      <c r="F35" s="24"/>
      <c r="G35" s="24">
        <v>660</v>
      </c>
      <c r="H35" s="24"/>
      <c r="I35" s="24">
        <v>990</v>
      </c>
      <c r="J35" s="13">
        <v>0.61</v>
      </c>
      <c r="K35" s="15">
        <f t="shared" si="0"/>
        <v>0</v>
      </c>
      <c r="L35" s="3">
        <f t="shared" si="1"/>
        <v>0</v>
      </c>
      <c r="M35" s="16"/>
    </row>
    <row r="36" spans="1:13" ht="60" customHeight="1">
      <c r="B36" s="32" t="s">
        <v>44</v>
      </c>
      <c r="C36" s="33" t="s">
        <v>42</v>
      </c>
      <c r="D36" s="34">
        <v>1</v>
      </c>
      <c r="E36" s="35"/>
      <c r="F36" s="35"/>
      <c r="G36" s="35">
        <v>595</v>
      </c>
      <c r="H36" s="35"/>
      <c r="I36" s="35">
        <v>890</v>
      </c>
      <c r="J36" s="34">
        <v>0.01</v>
      </c>
      <c r="K36" s="34">
        <f>J36*D36</f>
        <v>0.01</v>
      </c>
      <c r="L36" s="36">
        <f t="shared" si="1"/>
        <v>890</v>
      </c>
      <c r="M36" s="36"/>
    </row>
    <row r="37" spans="1:13" ht="60" hidden="1" customHeight="1">
      <c r="B37" s="26" t="s">
        <v>49</v>
      </c>
      <c r="C37" s="22" t="s">
        <v>50</v>
      </c>
      <c r="D37" s="12">
        <f>IF(C7=N10,(CEILING(C4/12,1)+1+C5),0)</f>
        <v>0</v>
      </c>
      <c r="E37" s="24"/>
      <c r="F37" s="24"/>
      <c r="G37" s="24">
        <v>15260</v>
      </c>
      <c r="H37" s="24"/>
      <c r="I37" s="24">
        <v>22890</v>
      </c>
      <c r="J37" s="12">
        <v>6.18</v>
      </c>
      <c r="K37" s="12">
        <f>J37*D37</f>
        <v>0</v>
      </c>
      <c r="L37" s="3">
        <f t="shared" si="1"/>
        <v>0</v>
      </c>
      <c r="M37" s="3"/>
    </row>
    <row r="38" spans="1:13" ht="60" hidden="1" customHeight="1">
      <c r="B38" s="25" t="s">
        <v>48</v>
      </c>
      <c r="C38" s="21" t="s">
        <v>51</v>
      </c>
      <c r="D38" s="12">
        <f>IF(C7=N9,(CEILING(C4/12,1)+1+C5),0)*(IF(C6=N5,1,0))+IF(C7=N8,(CEILING(C4/12,1)+1+C5),0)*(IF(C6=N4,1,0)+IF(C6=N4,1,0))</f>
        <v>0</v>
      </c>
      <c r="E38" s="24"/>
      <c r="F38" s="24"/>
      <c r="G38" s="24">
        <v>3995</v>
      </c>
      <c r="H38" s="24"/>
      <c r="I38" s="24">
        <v>5990</v>
      </c>
      <c r="J38" s="12">
        <v>3.43</v>
      </c>
      <c r="K38" s="12">
        <f t="shared" si="0"/>
        <v>0</v>
      </c>
      <c r="L38" s="3">
        <f t="shared" si="1"/>
        <v>0</v>
      </c>
      <c r="M38" s="3"/>
    </row>
    <row r="39" spans="1:13">
      <c r="B39" s="25"/>
      <c r="C39" s="21" t="s">
        <v>92</v>
      </c>
      <c r="D39" s="12">
        <f>D19+D23</f>
        <v>14</v>
      </c>
      <c r="E39" s="24"/>
      <c r="F39" s="24"/>
      <c r="G39" s="24">
        <v>1325</v>
      </c>
      <c r="H39" s="24"/>
      <c r="I39" s="24">
        <v>7400</v>
      </c>
      <c r="J39" s="12">
        <v>1.58</v>
      </c>
      <c r="K39" s="12">
        <f t="shared" si="0"/>
        <v>22.12</v>
      </c>
      <c r="L39" s="3">
        <f t="shared" si="1"/>
        <v>103600</v>
      </c>
      <c r="M39" s="3"/>
    </row>
    <row r="40" spans="1:13" ht="58.95" customHeight="1">
      <c r="B40" s="14" t="s">
        <v>53</v>
      </c>
      <c r="C40" s="23" t="s">
        <v>60</v>
      </c>
      <c r="D40" s="12">
        <f>IF($D$26&lt;&gt;0,$D$26,$D$27)</f>
        <v>3</v>
      </c>
      <c r="E40" s="38"/>
      <c r="F40" s="38"/>
      <c r="G40" s="38">
        <v>250</v>
      </c>
      <c r="H40" s="38"/>
      <c r="I40" s="38">
        <v>400</v>
      </c>
      <c r="J40" s="15">
        <f>0.1</f>
        <v>0.1</v>
      </c>
      <c r="K40" s="15">
        <f>J40*D40</f>
        <v>0.30000000000000004</v>
      </c>
      <c r="L40" s="3">
        <f t="shared" si="1"/>
        <v>1200</v>
      </c>
      <c r="M40" s="16"/>
    </row>
    <row r="41" spans="1:13" hidden="1"/>
    <row r="42" spans="1:13" hidden="1"/>
    <row r="43" spans="1:13" hidden="1"/>
    <row r="44" spans="1:13" hidden="1"/>
    <row r="45" spans="1:13" hidden="1"/>
  </sheetData>
  <mergeCells count="10">
    <mergeCell ref="A7:B7"/>
    <mergeCell ref="A8:B8"/>
    <mergeCell ref="A12:B12"/>
    <mergeCell ref="E15:G15"/>
    <mergeCell ref="A1:C1"/>
    <mergeCell ref="A2:C2"/>
    <mergeCell ref="A3:B3"/>
    <mergeCell ref="A4:B4"/>
    <mergeCell ref="A5:B5"/>
    <mergeCell ref="A6:B6"/>
  </mergeCells>
  <dataValidations count="5">
    <dataValidation type="list" allowBlank="1" showInputMessage="1" showErrorMessage="1" sqref="C3">
      <formula1>Клиент</formula1>
    </dataValidation>
    <dataValidation type="list" allowBlank="1" showInputMessage="1" showErrorMessage="1" sqref="C8">
      <formula1>пользователи</formula1>
    </dataValidation>
    <dataValidation type="list" allowBlank="1" showInputMessage="1" showErrorMessage="1" sqref="C7">
      <formula1>Типконструкции</formula1>
    </dataValidation>
    <dataValidation type="list" allowBlank="1" showInputMessage="1" showErrorMessage="1" sqref="C6">
      <formula1>Фактор</formula1>
    </dataValidation>
    <dataValidation type="list" allowBlank="1" showInputMessage="1" showErrorMessage="1" sqref="C13">
      <formula1>Тип</formula1>
    </dataValidation>
  </dataValidations>
  <pageMargins left="0.7" right="0.7" top="0.75" bottom="0.75" header="0.3" footer="0.3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D18"/>
  <sheetViews>
    <sheetView tabSelected="1" workbookViewId="0">
      <selection activeCell="C12" sqref="C12"/>
    </sheetView>
  </sheetViews>
  <sheetFormatPr defaultRowHeight="14.4"/>
  <cols>
    <col min="2" max="2" width="43.88671875" customWidth="1"/>
    <col min="3" max="3" width="16.109375" customWidth="1"/>
  </cols>
  <sheetData>
    <row r="2" spans="1:4" ht="15.6" customHeight="1">
      <c r="A2" s="49"/>
      <c r="B2" s="50" t="s">
        <v>72</v>
      </c>
      <c r="C2" s="40" t="s">
        <v>94</v>
      </c>
      <c r="D2" s="49"/>
    </row>
    <row r="3" spans="1:4">
      <c r="A3" s="49"/>
      <c r="B3" s="51" t="s">
        <v>69</v>
      </c>
      <c r="C3" s="41" t="s">
        <v>95</v>
      </c>
      <c r="D3" s="52"/>
    </row>
    <row r="4" spans="1:4">
      <c r="A4" s="49"/>
      <c r="B4" s="42" t="s">
        <v>73</v>
      </c>
      <c r="C4" s="40">
        <v>1</v>
      </c>
      <c r="D4" s="49"/>
    </row>
    <row r="5" spans="1:4">
      <c r="A5" s="49"/>
      <c r="B5" s="43" t="s">
        <v>70</v>
      </c>
      <c r="C5" s="40">
        <v>1</v>
      </c>
      <c r="D5" s="49"/>
    </row>
    <row r="6" spans="1:4">
      <c r="A6" s="49"/>
      <c r="B6" s="44" t="s">
        <v>74</v>
      </c>
      <c r="C6" s="53">
        <v>7</v>
      </c>
      <c r="D6" s="49"/>
    </row>
    <row r="7" spans="1:4">
      <c r="A7" s="49"/>
      <c r="B7" s="47" t="s">
        <v>71</v>
      </c>
      <c r="C7" s="40">
        <v>2</v>
      </c>
      <c r="D7" s="49"/>
    </row>
    <row r="9" spans="1:4" ht="27.6">
      <c r="A9" s="45" t="s">
        <v>75</v>
      </c>
      <c r="B9" s="45" t="s">
        <v>1</v>
      </c>
      <c r="C9" s="54" t="s">
        <v>76</v>
      </c>
      <c r="D9" s="49"/>
    </row>
    <row r="10" spans="1:4" ht="39" customHeight="1">
      <c r="A10" s="55" t="s">
        <v>77</v>
      </c>
      <c r="B10" s="56" t="s">
        <v>78</v>
      </c>
      <c r="C10" s="57">
        <f>C12+C13</f>
        <v>791984.00000000012</v>
      </c>
      <c r="D10" s="39"/>
    </row>
    <row r="11" spans="1:4">
      <c r="A11" s="69" t="s">
        <v>79</v>
      </c>
      <c r="B11" s="70"/>
      <c r="C11" s="70"/>
      <c r="D11" s="49"/>
    </row>
    <row r="12" spans="1:4" ht="110.4">
      <c r="A12" s="58" t="s">
        <v>88</v>
      </c>
      <c r="B12" s="59" t="s">
        <v>93</v>
      </c>
      <c r="C12" s="60">
        <v>762014.00000000012</v>
      </c>
      <c r="D12" s="39"/>
    </row>
    <row r="13" spans="1:4" ht="27.6">
      <c r="A13" s="58" t="s">
        <v>89</v>
      </c>
      <c r="B13" s="59" t="s">
        <v>91</v>
      </c>
      <c r="C13" s="60">
        <v>29970</v>
      </c>
      <c r="D13" s="39"/>
    </row>
    <row r="14" spans="1:4" ht="35.4" customHeight="1">
      <c r="A14" s="58" t="s">
        <v>80</v>
      </c>
      <c r="B14" s="59" t="s">
        <v>90</v>
      </c>
      <c r="C14" s="60">
        <v>83048.579310344823</v>
      </c>
      <c r="D14" s="39"/>
    </row>
    <row r="15" spans="1:4" ht="18.600000000000001" customHeight="1">
      <c r="A15" s="55" t="s">
        <v>81</v>
      </c>
      <c r="B15" s="46" t="s">
        <v>82</v>
      </c>
      <c r="C15" s="57">
        <v>360918.79310344823</v>
      </c>
      <c r="D15" s="39"/>
    </row>
    <row r="16" spans="1:4" ht="22.8" customHeight="1">
      <c r="A16" s="55" t="s">
        <v>83</v>
      </c>
      <c r="B16" s="46" t="s">
        <v>84</v>
      </c>
      <c r="C16" s="57">
        <v>10000</v>
      </c>
      <c r="D16" s="49"/>
    </row>
    <row r="17" spans="1:4" ht="45.6" customHeight="1">
      <c r="A17" s="55" t="s">
        <v>85</v>
      </c>
      <c r="B17" s="46" t="s">
        <v>86</v>
      </c>
      <c r="C17" s="57">
        <v>0</v>
      </c>
      <c r="D17" s="49"/>
    </row>
    <row r="18" spans="1:4" ht="15" thickBot="1">
      <c r="A18" s="48"/>
      <c r="B18" s="61" t="s">
        <v>87</v>
      </c>
      <c r="C18" s="62">
        <v>1245951.3724137931</v>
      </c>
    </row>
  </sheetData>
  <mergeCells count="1">
    <mergeCell ref="A11:C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5</vt:i4>
      </vt:variant>
    </vt:vector>
  </HeadingPairs>
  <TitlesOfParts>
    <vt:vector size="7" baseType="lpstr">
      <vt:lpstr>130</vt:lpstr>
      <vt:lpstr>Итого</vt:lpstr>
      <vt:lpstr>'130'!Клиент</vt:lpstr>
      <vt:lpstr>'130'!пользователи</vt:lpstr>
      <vt:lpstr>'130'!Тип</vt:lpstr>
      <vt:lpstr>'130'!Типконструкции</vt:lpstr>
      <vt:lpstr>'130'!Фактор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Derkachev</dc:creator>
  <cp:lastModifiedBy>Glukhov</cp:lastModifiedBy>
  <cp:lastPrinted>2018-10-24T19:29:41Z</cp:lastPrinted>
  <dcterms:created xsi:type="dcterms:W3CDTF">2018-09-04T09:43:55Z</dcterms:created>
  <dcterms:modified xsi:type="dcterms:W3CDTF">2021-06-29T14:10:22Z</dcterms:modified>
</cp:coreProperties>
</file>