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NS\Desktop\SVN\Исполнительная документация\Школа 1297\"/>
    </mc:Choice>
  </mc:AlternateContent>
  <bookViews>
    <workbookView xWindow="0" yWindow="0" windowWidth="28800" windowHeight="12435"/>
  </bookViews>
  <sheets>
    <sheet name="Смета СН-2012 по гл. 1-5" sheetId="5" r:id="rId1"/>
    <sheet name="Дефектная ведомость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'Дефектная ведомость'!$18:$18</definedName>
    <definedName name="_xlnm.Print_Titles" localSheetId="0">'Смета СН-2012 по гл. 1-5'!$30:$30</definedName>
    <definedName name="_xlnm.Print_Area" localSheetId="1">'Дефектная ведомость'!$A$1:$E$38</definedName>
    <definedName name="_xlnm.Print_Area" localSheetId="0">'Смета СН-2012 по гл. 1-5'!$A$1:$K$146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6" l="1"/>
  <c r="C33" i="6"/>
  <c r="B33" i="6"/>
  <c r="A33" i="6"/>
  <c r="D32" i="6"/>
  <c r="C32" i="6"/>
  <c r="B32" i="6"/>
  <c r="A32" i="6"/>
  <c r="D31" i="6"/>
  <c r="C31" i="6"/>
  <c r="B31" i="6"/>
  <c r="A31" i="6"/>
  <c r="D30" i="6"/>
  <c r="C30" i="6"/>
  <c r="B30" i="6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D25" i="6"/>
  <c r="C25" i="6"/>
  <c r="B25" i="6"/>
  <c r="A25" i="6"/>
  <c r="D24" i="6"/>
  <c r="C24" i="6"/>
  <c r="B24" i="6"/>
  <c r="A24" i="6"/>
  <c r="D23" i="6"/>
  <c r="C23" i="6"/>
  <c r="B23" i="6"/>
  <c r="A23" i="6"/>
  <c r="D22" i="6"/>
  <c r="C22" i="6"/>
  <c r="B22" i="6"/>
  <c r="A22" i="6"/>
  <c r="D21" i="6"/>
  <c r="C21" i="6"/>
  <c r="B21" i="6"/>
  <c r="A21" i="6"/>
  <c r="A20" i="6"/>
  <c r="A19" i="6"/>
  <c r="A12" i="6"/>
  <c r="A11" i="6"/>
  <c r="A1" i="6"/>
  <c r="H144" i="5"/>
  <c r="H141" i="5"/>
  <c r="C144" i="5"/>
  <c r="C141" i="5"/>
  <c r="I138" i="5"/>
  <c r="C138" i="5"/>
  <c r="I137" i="5"/>
  <c r="C137" i="5"/>
  <c r="I136" i="5"/>
  <c r="C136" i="5"/>
  <c r="I25" i="5"/>
  <c r="I24" i="5"/>
  <c r="I23" i="5"/>
  <c r="I22" i="5"/>
  <c r="I21" i="5"/>
  <c r="I20" i="5"/>
  <c r="AF135" i="5"/>
  <c r="I135" i="5"/>
  <c r="A135" i="5"/>
  <c r="I132" i="5"/>
  <c r="A132" i="5"/>
  <c r="I129" i="5"/>
  <c r="A129" i="5"/>
  <c r="K127" i="5"/>
  <c r="P127" i="5"/>
  <c r="I127" i="5"/>
  <c r="K126" i="5"/>
  <c r="H126" i="5"/>
  <c r="G126" i="5"/>
  <c r="E126" i="5"/>
  <c r="J125" i="5"/>
  <c r="E125" i="5"/>
  <c r="J124" i="5"/>
  <c r="E124" i="5"/>
  <c r="J123" i="5"/>
  <c r="E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C118" i="5"/>
  <c r="V117" i="5"/>
  <c r="T117" i="5"/>
  <c r="R117" i="5"/>
  <c r="U117" i="5"/>
  <c r="S117" i="5"/>
  <c r="Q117" i="5"/>
  <c r="E117" i="5"/>
  <c r="D117" i="5"/>
  <c r="C117" i="5"/>
  <c r="B117" i="5"/>
  <c r="A117" i="5"/>
  <c r="K116" i="5"/>
  <c r="P116" i="5"/>
  <c r="I116" i="5"/>
  <c r="K115" i="5"/>
  <c r="H115" i="5"/>
  <c r="G115" i="5"/>
  <c r="E115" i="5"/>
  <c r="J114" i="5"/>
  <c r="E114" i="5"/>
  <c r="J113" i="5"/>
  <c r="E113" i="5"/>
  <c r="J112" i="5"/>
  <c r="E112" i="5"/>
  <c r="J111" i="5"/>
  <c r="I111" i="5"/>
  <c r="H111" i="5"/>
  <c r="F111" i="5"/>
  <c r="V111" i="5"/>
  <c r="T111" i="5"/>
  <c r="R111" i="5"/>
  <c r="U111" i="5"/>
  <c r="S111" i="5"/>
  <c r="Q111" i="5"/>
  <c r="E111" i="5"/>
  <c r="D111" i="5"/>
  <c r="C111" i="5"/>
  <c r="B111" i="5"/>
  <c r="A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C106" i="5"/>
  <c r="V105" i="5"/>
  <c r="T105" i="5"/>
  <c r="R105" i="5"/>
  <c r="U105" i="5"/>
  <c r="S105" i="5"/>
  <c r="Q105" i="5"/>
  <c r="E105" i="5"/>
  <c r="D105" i="5"/>
  <c r="C105" i="5"/>
  <c r="B105" i="5"/>
  <c r="A105" i="5"/>
  <c r="K104" i="5"/>
  <c r="P104" i="5"/>
  <c r="I104" i="5"/>
  <c r="K103" i="5"/>
  <c r="H103" i="5"/>
  <c r="G103" i="5"/>
  <c r="E103" i="5"/>
  <c r="J102" i="5"/>
  <c r="E102" i="5"/>
  <c r="J101" i="5"/>
  <c r="E101" i="5"/>
  <c r="J100" i="5"/>
  <c r="I100" i="5"/>
  <c r="H100" i="5"/>
  <c r="F100" i="5"/>
  <c r="V100" i="5"/>
  <c r="T100" i="5"/>
  <c r="R100" i="5"/>
  <c r="U100" i="5"/>
  <c r="S100" i="5"/>
  <c r="Q100" i="5"/>
  <c r="E100" i="5"/>
  <c r="D100" i="5"/>
  <c r="C100" i="5"/>
  <c r="B100" i="5"/>
  <c r="A100" i="5"/>
  <c r="J99" i="5"/>
  <c r="I99" i="5"/>
  <c r="H99" i="5"/>
  <c r="F99" i="5"/>
  <c r="V99" i="5"/>
  <c r="T99" i="5"/>
  <c r="R99" i="5"/>
  <c r="U99" i="5"/>
  <c r="S99" i="5"/>
  <c r="Q99" i="5"/>
  <c r="E99" i="5"/>
  <c r="D99" i="5"/>
  <c r="C99" i="5"/>
  <c r="B99" i="5"/>
  <c r="A99" i="5"/>
  <c r="J98" i="5"/>
  <c r="I98" i="5"/>
  <c r="H98" i="5"/>
  <c r="G98" i="5"/>
  <c r="F98" i="5"/>
  <c r="J97" i="5"/>
  <c r="I97" i="5"/>
  <c r="H97" i="5"/>
  <c r="G97" i="5"/>
  <c r="F97" i="5"/>
  <c r="C96" i="5"/>
  <c r="V95" i="5"/>
  <c r="T95" i="5"/>
  <c r="R95" i="5"/>
  <c r="U95" i="5"/>
  <c r="S95" i="5"/>
  <c r="Q95" i="5"/>
  <c r="E95" i="5"/>
  <c r="D95" i="5"/>
  <c r="C95" i="5"/>
  <c r="B95" i="5"/>
  <c r="A95" i="5"/>
  <c r="K94" i="5"/>
  <c r="P94" i="5"/>
  <c r="I94" i="5"/>
  <c r="K93" i="5"/>
  <c r="H93" i="5"/>
  <c r="G93" i="5"/>
  <c r="E93" i="5"/>
  <c r="J92" i="5"/>
  <c r="E92" i="5"/>
  <c r="J91" i="5"/>
  <c r="E91" i="5"/>
  <c r="J90" i="5"/>
  <c r="I90" i="5"/>
  <c r="H90" i="5"/>
  <c r="G90" i="5"/>
  <c r="F90" i="5"/>
  <c r="J89" i="5"/>
  <c r="I89" i="5"/>
  <c r="H89" i="5"/>
  <c r="G89" i="5"/>
  <c r="F89" i="5"/>
  <c r="C88" i="5"/>
  <c r="V87" i="5"/>
  <c r="T87" i="5"/>
  <c r="R87" i="5"/>
  <c r="U87" i="5"/>
  <c r="S87" i="5"/>
  <c r="Q87" i="5"/>
  <c r="E87" i="5"/>
  <c r="D87" i="5"/>
  <c r="C87" i="5"/>
  <c r="B87" i="5"/>
  <c r="A87" i="5"/>
  <c r="K86" i="5"/>
  <c r="P86" i="5"/>
  <c r="I86" i="5"/>
  <c r="K85" i="5"/>
  <c r="H85" i="5"/>
  <c r="G85" i="5"/>
  <c r="E85" i="5"/>
  <c r="J84" i="5"/>
  <c r="E84" i="5"/>
  <c r="J83" i="5"/>
  <c r="E83" i="5"/>
  <c r="J82" i="5"/>
  <c r="E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V77" i="5"/>
  <c r="T77" i="5"/>
  <c r="R77" i="5"/>
  <c r="U77" i="5"/>
  <c r="S77" i="5"/>
  <c r="Q77" i="5"/>
  <c r="E77" i="5"/>
  <c r="D77" i="5"/>
  <c r="C77" i="5"/>
  <c r="B77" i="5"/>
  <c r="A77" i="5"/>
  <c r="K76" i="5"/>
  <c r="P76" i="5"/>
  <c r="I76" i="5"/>
  <c r="K75" i="5"/>
  <c r="H75" i="5"/>
  <c r="G75" i="5"/>
  <c r="E75" i="5"/>
  <c r="J74" i="5"/>
  <c r="E74" i="5"/>
  <c r="J73" i="5"/>
  <c r="E73" i="5"/>
  <c r="J72" i="5"/>
  <c r="E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V67" i="5"/>
  <c r="T67" i="5"/>
  <c r="R67" i="5"/>
  <c r="U67" i="5"/>
  <c r="S67" i="5"/>
  <c r="Q67" i="5"/>
  <c r="E67" i="5"/>
  <c r="D67" i="5"/>
  <c r="C67" i="5"/>
  <c r="B67" i="5"/>
  <c r="A67" i="5"/>
  <c r="K66" i="5"/>
  <c r="P66" i="5"/>
  <c r="I66" i="5"/>
  <c r="K65" i="5"/>
  <c r="H65" i="5"/>
  <c r="G65" i="5"/>
  <c r="E65" i="5"/>
  <c r="J64" i="5"/>
  <c r="E64" i="5"/>
  <c r="J63" i="5"/>
  <c r="E63" i="5"/>
  <c r="J62" i="5"/>
  <c r="I62" i="5"/>
  <c r="H62" i="5"/>
  <c r="G62" i="5"/>
  <c r="F62" i="5"/>
  <c r="J61" i="5"/>
  <c r="I61" i="5"/>
  <c r="H61" i="5"/>
  <c r="G61" i="5"/>
  <c r="F61" i="5"/>
  <c r="C60" i="5"/>
  <c r="V59" i="5"/>
  <c r="T59" i="5"/>
  <c r="R59" i="5"/>
  <c r="U59" i="5"/>
  <c r="S59" i="5"/>
  <c r="Q59" i="5"/>
  <c r="E59" i="5"/>
  <c r="D59" i="5"/>
  <c r="C59" i="5"/>
  <c r="B59" i="5"/>
  <c r="A59" i="5"/>
  <c r="K58" i="5"/>
  <c r="P58" i="5"/>
  <c r="I58" i="5"/>
  <c r="K57" i="5"/>
  <c r="H57" i="5"/>
  <c r="G57" i="5"/>
  <c r="E57" i="5"/>
  <c r="J56" i="5"/>
  <c r="E56" i="5"/>
  <c r="J55" i="5"/>
  <c r="E55" i="5"/>
  <c r="J54" i="5"/>
  <c r="I54" i="5"/>
  <c r="H54" i="5"/>
  <c r="G54" i="5"/>
  <c r="F54" i="5"/>
  <c r="J53" i="5"/>
  <c r="I53" i="5"/>
  <c r="H53" i="5"/>
  <c r="G53" i="5"/>
  <c r="F53" i="5"/>
  <c r="C52" i="5"/>
  <c r="V51" i="5"/>
  <c r="T51" i="5"/>
  <c r="R51" i="5"/>
  <c r="U51" i="5"/>
  <c r="S51" i="5"/>
  <c r="Q51" i="5"/>
  <c r="E51" i="5"/>
  <c r="D51" i="5"/>
  <c r="C51" i="5"/>
  <c r="B51" i="5"/>
  <c r="A51" i="5"/>
  <c r="K50" i="5"/>
  <c r="P50" i="5"/>
  <c r="I50" i="5"/>
  <c r="K49" i="5"/>
  <c r="H49" i="5"/>
  <c r="G49" i="5"/>
  <c r="E49" i="5"/>
  <c r="J48" i="5"/>
  <c r="E48" i="5"/>
  <c r="J47" i="5"/>
  <c r="E47" i="5"/>
  <c r="J46" i="5"/>
  <c r="I46" i="5"/>
  <c r="H46" i="5"/>
  <c r="G46" i="5"/>
  <c r="F46" i="5"/>
  <c r="J45" i="5"/>
  <c r="I45" i="5"/>
  <c r="H45" i="5"/>
  <c r="G45" i="5"/>
  <c r="F45" i="5"/>
  <c r="C44" i="5"/>
  <c r="V43" i="5"/>
  <c r="T43" i="5"/>
  <c r="R43" i="5"/>
  <c r="U43" i="5"/>
  <c r="S43" i="5"/>
  <c r="Q43" i="5"/>
  <c r="E43" i="5"/>
  <c r="D43" i="5"/>
  <c r="C43" i="5"/>
  <c r="B43" i="5"/>
  <c r="A43" i="5"/>
  <c r="K42" i="5"/>
  <c r="P42" i="5"/>
  <c r="I42" i="5"/>
  <c r="K41" i="5"/>
  <c r="H41" i="5"/>
  <c r="G41" i="5"/>
  <c r="E41" i="5"/>
  <c r="J40" i="5"/>
  <c r="E40" i="5"/>
  <c r="J39" i="5"/>
  <c r="E39" i="5"/>
  <c r="J38" i="5"/>
  <c r="I38" i="5"/>
  <c r="H38" i="5"/>
  <c r="G38" i="5"/>
  <c r="F38" i="5"/>
  <c r="J37" i="5"/>
  <c r="I37" i="5"/>
  <c r="H37" i="5"/>
  <c r="G37" i="5"/>
  <c r="F37" i="5"/>
  <c r="C36" i="5"/>
  <c r="V35" i="5"/>
  <c r="T35" i="5"/>
  <c r="R35" i="5"/>
  <c r="U35" i="5"/>
  <c r="S35" i="5"/>
  <c r="Q35" i="5"/>
  <c r="E35" i="5"/>
  <c r="D35" i="5"/>
  <c r="C35" i="5"/>
  <c r="B35" i="5"/>
  <c r="A35" i="5"/>
  <c r="A34" i="5"/>
  <c r="A32" i="5"/>
  <c r="A18" i="5"/>
  <c r="A15" i="5"/>
  <c r="A10" i="5"/>
  <c r="G6" i="5"/>
  <c r="B6" i="5"/>
  <c r="A1" i="5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1" i="3"/>
  <c r="CY1" i="3"/>
  <c r="CZ1" i="3"/>
  <c r="DA1" i="3"/>
  <c r="DB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B4" i="3" s="1"/>
  <c r="DA4" i="3"/>
  <c r="DC4" i="3"/>
  <c r="A5" i="3"/>
  <c r="CY5" i="3"/>
  <c r="CZ5" i="3"/>
  <c r="DA5" i="3"/>
  <c r="DB5" i="3"/>
  <c r="DC5" i="3"/>
  <c r="A6" i="3"/>
  <c r="CY6" i="3"/>
  <c r="CZ6" i="3"/>
  <c r="DA6" i="3"/>
  <c r="DB6" i="3"/>
  <c r="DC6" i="3"/>
  <c r="A7" i="3"/>
  <c r="CY7" i="3"/>
  <c r="CZ7" i="3"/>
  <c r="DB7" i="3" s="1"/>
  <c r="DA7" i="3"/>
  <c r="DC7" i="3"/>
  <c r="A8" i="3"/>
  <c r="CY8" i="3"/>
  <c r="CZ8" i="3"/>
  <c r="DB8" i="3" s="1"/>
  <c r="DA8" i="3"/>
  <c r="DC8" i="3"/>
  <c r="A9" i="3"/>
  <c r="CY9" i="3"/>
  <c r="CZ9" i="3"/>
  <c r="DA9" i="3"/>
  <c r="DB9" i="3"/>
  <c r="DC9" i="3"/>
  <c r="A10" i="3"/>
  <c r="CY10" i="3"/>
  <c r="CZ10" i="3"/>
  <c r="DA10" i="3"/>
  <c r="DB10" i="3"/>
  <c r="DC10" i="3"/>
  <c r="A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Y13" i="3"/>
  <c r="CZ13" i="3"/>
  <c r="DA13" i="3"/>
  <c r="DB13" i="3"/>
  <c r="DC13" i="3"/>
  <c r="A14" i="3"/>
  <c r="CY14" i="3"/>
  <c r="CZ14" i="3"/>
  <c r="DA14" i="3"/>
  <c r="DB14" i="3"/>
  <c r="DC14" i="3"/>
  <c r="A15" i="3"/>
  <c r="CY15" i="3"/>
  <c r="CZ15" i="3"/>
  <c r="DB15" i="3" s="1"/>
  <c r="DA15" i="3"/>
  <c r="DC15" i="3"/>
  <c r="A16" i="3"/>
  <c r="CY16" i="3"/>
  <c r="CZ16" i="3"/>
  <c r="DB16" i="3" s="1"/>
  <c r="DA16" i="3"/>
  <c r="DC16" i="3"/>
  <c r="A17" i="3"/>
  <c r="CY17" i="3"/>
  <c r="CZ17" i="3"/>
  <c r="DA17" i="3"/>
  <c r="DB17" i="3"/>
  <c r="DC17" i="3"/>
  <c r="A18" i="3"/>
  <c r="CY18" i="3"/>
  <c r="CZ18" i="3"/>
  <c r="DA18" i="3"/>
  <c r="DB18" i="3"/>
  <c r="DC18" i="3"/>
  <c r="A19" i="3"/>
  <c r="CY19" i="3"/>
  <c r="CZ19" i="3"/>
  <c r="DB19" i="3" s="1"/>
  <c r="DA19" i="3"/>
  <c r="DC19" i="3"/>
  <c r="A20" i="3"/>
  <c r="CY20" i="3"/>
  <c r="CZ20" i="3"/>
  <c r="DB20" i="3" s="1"/>
  <c r="DA20" i="3"/>
  <c r="DC20" i="3"/>
  <c r="A21" i="3"/>
  <c r="CY21" i="3"/>
  <c r="CZ21" i="3"/>
  <c r="DA21" i="3"/>
  <c r="DB21" i="3"/>
  <c r="DC21" i="3"/>
  <c r="A22" i="3"/>
  <c r="CX22" i="3"/>
  <c r="CY22" i="3"/>
  <c r="CZ22" i="3"/>
  <c r="DA22" i="3"/>
  <c r="DB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B24" i="3" s="1"/>
  <c r="DA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A26" i="3"/>
  <c r="DB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B28" i="3" s="1"/>
  <c r="DA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A30" i="3"/>
  <c r="DB30" i="3"/>
  <c r="DC30" i="3"/>
  <c r="A31" i="3"/>
  <c r="CX31" i="3"/>
  <c r="CY31" i="3"/>
  <c r="CZ31" i="3"/>
  <c r="DB31" i="3" s="1"/>
  <c r="DA31" i="3"/>
  <c r="DC31" i="3"/>
  <c r="A32" i="3"/>
  <c r="CY32" i="3"/>
  <c r="CZ32" i="3"/>
  <c r="DB32" i="3" s="1"/>
  <c r="DA32" i="3"/>
  <c r="DC32" i="3"/>
  <c r="A33" i="3"/>
  <c r="CY33" i="3"/>
  <c r="CZ33" i="3"/>
  <c r="DA33" i="3"/>
  <c r="DB33" i="3"/>
  <c r="DC33" i="3"/>
  <c r="A34" i="3"/>
  <c r="CY34" i="3"/>
  <c r="CZ34" i="3"/>
  <c r="DA34" i="3"/>
  <c r="DB34" i="3"/>
  <c r="DC34" i="3"/>
  <c r="A35" i="3"/>
  <c r="CY35" i="3"/>
  <c r="CZ35" i="3"/>
  <c r="DB35" i="3" s="1"/>
  <c r="DA35" i="3"/>
  <c r="DC35" i="3"/>
  <c r="A36" i="3"/>
  <c r="CY36" i="3"/>
  <c r="CZ36" i="3"/>
  <c r="DB36" i="3" s="1"/>
  <c r="DA36" i="3"/>
  <c r="DC36" i="3"/>
  <c r="A37" i="3"/>
  <c r="CY37" i="3"/>
  <c r="CZ37" i="3"/>
  <c r="DA37" i="3"/>
  <c r="DB37" i="3"/>
  <c r="DC37" i="3"/>
  <c r="A38" i="3"/>
  <c r="CY38" i="3"/>
  <c r="CZ38" i="3"/>
  <c r="DA38" i="3"/>
  <c r="DB38" i="3"/>
  <c r="DC38" i="3"/>
  <c r="A39" i="3"/>
  <c r="CY39" i="3"/>
  <c r="CZ39" i="3"/>
  <c r="DB39" i="3" s="1"/>
  <c r="DA39" i="3"/>
  <c r="DC39" i="3"/>
  <c r="A40" i="3"/>
  <c r="CY40" i="3"/>
  <c r="CZ40" i="3"/>
  <c r="DB40" i="3" s="1"/>
  <c r="DA40" i="3"/>
  <c r="DC40" i="3"/>
  <c r="A41" i="3"/>
  <c r="CY41" i="3"/>
  <c r="CZ41" i="3"/>
  <c r="DA41" i="3"/>
  <c r="DB41" i="3"/>
  <c r="DC41" i="3"/>
  <c r="A42" i="3"/>
  <c r="CY42" i="3"/>
  <c r="CZ42" i="3"/>
  <c r="DA42" i="3"/>
  <c r="DB42" i="3"/>
  <c r="DC42" i="3"/>
  <c r="A43" i="3"/>
  <c r="CY43" i="3"/>
  <c r="CZ43" i="3"/>
  <c r="DB43" i="3" s="1"/>
  <c r="DA43" i="3"/>
  <c r="DC43" i="3"/>
  <c r="A44" i="3"/>
  <c r="CY44" i="3"/>
  <c r="CZ44" i="3"/>
  <c r="DB44" i="3" s="1"/>
  <c r="DA44" i="3"/>
  <c r="DC44" i="3"/>
  <c r="A45" i="3"/>
  <c r="CY45" i="3"/>
  <c r="CZ45" i="3"/>
  <c r="DA45" i="3"/>
  <c r="DB45" i="3"/>
  <c r="DC45" i="3"/>
  <c r="A46" i="3"/>
  <c r="CY46" i="3"/>
  <c r="CZ46" i="3"/>
  <c r="DA46" i="3"/>
  <c r="DB46" i="3"/>
  <c r="DC46" i="3"/>
  <c r="A47" i="3"/>
  <c r="CY47" i="3"/>
  <c r="CZ47" i="3"/>
  <c r="DB47" i="3" s="1"/>
  <c r="DA47" i="3"/>
  <c r="DC47" i="3"/>
  <c r="A48" i="3"/>
  <c r="CY48" i="3"/>
  <c r="CZ48" i="3"/>
  <c r="DB48" i="3" s="1"/>
  <c r="DA48" i="3"/>
  <c r="DC48" i="3"/>
  <c r="A49" i="3"/>
  <c r="CY49" i="3"/>
  <c r="CZ49" i="3"/>
  <c r="DA49" i="3"/>
  <c r="DB49" i="3"/>
  <c r="DC49" i="3"/>
  <c r="A50" i="3"/>
  <c r="CY50" i="3"/>
  <c r="CZ50" i="3"/>
  <c r="DA50" i="3"/>
  <c r="DB50" i="3"/>
  <c r="DC50" i="3"/>
  <c r="A51" i="3"/>
  <c r="CY51" i="3"/>
  <c r="CZ51" i="3"/>
  <c r="DB51" i="3" s="1"/>
  <c r="DA51" i="3"/>
  <c r="DC51" i="3"/>
  <c r="A52" i="3"/>
  <c r="CY52" i="3"/>
  <c r="CZ52" i="3"/>
  <c r="DB52" i="3" s="1"/>
  <c r="DA52" i="3"/>
  <c r="DC52" i="3"/>
  <c r="A53" i="3"/>
  <c r="CY53" i="3"/>
  <c r="CZ53" i="3"/>
  <c r="DA53" i="3"/>
  <c r="DB53" i="3"/>
  <c r="DC53" i="3"/>
  <c r="A54" i="3"/>
  <c r="CY54" i="3"/>
  <c r="CZ54" i="3"/>
  <c r="DA54" i="3"/>
  <c r="DB54" i="3"/>
  <c r="DC54" i="3"/>
  <c r="A55" i="3"/>
  <c r="CY55" i="3"/>
  <c r="CZ55" i="3"/>
  <c r="DB55" i="3" s="1"/>
  <c r="DA55" i="3"/>
  <c r="DC55" i="3"/>
  <c r="A56" i="3"/>
  <c r="CY56" i="3"/>
  <c r="CZ56" i="3"/>
  <c r="DB56" i="3" s="1"/>
  <c r="DA56" i="3"/>
  <c r="DC56" i="3"/>
  <c r="A57" i="3"/>
  <c r="CY57" i="3"/>
  <c r="CZ57" i="3"/>
  <c r="DA57" i="3"/>
  <c r="DB57" i="3"/>
  <c r="DC57" i="3"/>
  <c r="A58" i="3"/>
  <c r="CY58" i="3"/>
  <c r="CZ58" i="3"/>
  <c r="DA58" i="3"/>
  <c r="DB58" i="3"/>
  <c r="DC5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CX1" i="3" s="1"/>
  <c r="AC28" i="1"/>
  <c r="CQ28" i="1" s="1"/>
  <c r="P28" i="1" s="1"/>
  <c r="AE28" i="1"/>
  <c r="AD28" i="1" s="1"/>
  <c r="AB28" i="1" s="1"/>
  <c r="AF28" i="1"/>
  <c r="CT28" i="1" s="1"/>
  <c r="S28" i="1" s="1"/>
  <c r="AG28" i="1"/>
  <c r="CU28" i="1" s="1"/>
  <c r="T28" i="1" s="1"/>
  <c r="AH28" i="1"/>
  <c r="AI28" i="1"/>
  <c r="AJ28" i="1"/>
  <c r="CX28" i="1" s="1"/>
  <c r="W28" i="1" s="1"/>
  <c r="CR28" i="1"/>
  <c r="Q28" i="1" s="1"/>
  <c r="CS28" i="1"/>
  <c r="R28" i="1" s="1"/>
  <c r="GK28" i="1" s="1"/>
  <c r="CV28" i="1"/>
  <c r="U28" i="1" s="1"/>
  <c r="CW28" i="1"/>
  <c r="V28" i="1" s="1"/>
  <c r="FR28" i="1"/>
  <c r="GL28" i="1"/>
  <c r="GN28" i="1"/>
  <c r="GO28" i="1"/>
  <c r="GV28" i="1"/>
  <c r="GX28" i="1"/>
  <c r="C29" i="1"/>
  <c r="D29" i="1"/>
  <c r="I29" i="1"/>
  <c r="CX9" i="3" s="1"/>
  <c r="AC29" i="1"/>
  <c r="CQ29" i="1" s="1"/>
  <c r="P29" i="1" s="1"/>
  <c r="AE29" i="1"/>
  <c r="AD29" i="1" s="1"/>
  <c r="AF29" i="1"/>
  <c r="AG29" i="1"/>
  <c r="CU29" i="1" s="1"/>
  <c r="T29" i="1" s="1"/>
  <c r="AH29" i="1"/>
  <c r="AI29" i="1"/>
  <c r="CW29" i="1" s="1"/>
  <c r="V29" i="1" s="1"/>
  <c r="AJ29" i="1"/>
  <c r="CR29" i="1"/>
  <c r="Q29" i="1" s="1"/>
  <c r="CT29" i="1"/>
  <c r="S29" i="1" s="1"/>
  <c r="CV29" i="1"/>
  <c r="U29" i="1" s="1"/>
  <c r="CX29" i="1"/>
  <c r="W29" i="1" s="1"/>
  <c r="FR29" i="1"/>
  <c r="GL29" i="1"/>
  <c r="GN29" i="1"/>
  <c r="GO29" i="1"/>
  <c r="GV29" i="1"/>
  <c r="GX29" i="1"/>
  <c r="C30" i="1"/>
  <c r="D30" i="1"/>
  <c r="I30" i="1"/>
  <c r="CX13" i="3" s="1"/>
  <c r="U30" i="1"/>
  <c r="W30" i="1"/>
  <c r="AC30" i="1"/>
  <c r="AE30" i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CX30" i="1"/>
  <c r="FR30" i="1"/>
  <c r="GL30" i="1"/>
  <c r="GN30" i="1"/>
  <c r="GO30" i="1"/>
  <c r="GV30" i="1"/>
  <c r="GX30" i="1" s="1"/>
  <c r="C31" i="1"/>
  <c r="D31" i="1"/>
  <c r="I31" i="1"/>
  <c r="T31" i="1"/>
  <c r="AC31" i="1"/>
  <c r="AD31" i="1"/>
  <c r="AB31" i="1" s="1"/>
  <c r="AE31" i="1"/>
  <c r="AF31" i="1"/>
  <c r="CT31" i="1" s="1"/>
  <c r="AG31" i="1"/>
  <c r="AH31" i="1"/>
  <c r="CV31" i="1" s="1"/>
  <c r="U31" i="1" s="1"/>
  <c r="AI31" i="1"/>
  <c r="AJ31" i="1"/>
  <c r="CX31" i="1" s="1"/>
  <c r="CQ31" i="1"/>
  <c r="P31" i="1" s="1"/>
  <c r="CR31" i="1"/>
  <c r="Q31" i="1" s="1"/>
  <c r="CS31" i="1"/>
  <c r="R31" i="1" s="1"/>
  <c r="GK31" i="1" s="1"/>
  <c r="CU31" i="1"/>
  <c r="CW31" i="1"/>
  <c r="V31" i="1" s="1"/>
  <c r="FR31" i="1"/>
  <c r="GL31" i="1"/>
  <c r="GN31" i="1"/>
  <c r="GO31" i="1"/>
  <c r="GV31" i="1"/>
  <c r="GX31" i="1"/>
  <c r="C32" i="1"/>
  <c r="D32" i="1"/>
  <c r="R32" i="1"/>
  <c r="GK32" i="1" s="1"/>
  <c r="AC32" i="1"/>
  <c r="AD32" i="1"/>
  <c r="AE32" i="1"/>
  <c r="AF32" i="1"/>
  <c r="CT32" i="1" s="1"/>
  <c r="S32" i="1" s="1"/>
  <c r="CY32" i="1" s="1"/>
  <c r="X32" i="1" s="1"/>
  <c r="AG32" i="1"/>
  <c r="AH32" i="1"/>
  <c r="CV32" i="1" s="1"/>
  <c r="U32" i="1" s="1"/>
  <c r="AI32" i="1"/>
  <c r="AJ32" i="1"/>
  <c r="CX32" i="1" s="1"/>
  <c r="W32" i="1" s="1"/>
  <c r="CQ32" i="1"/>
  <c r="P32" i="1" s="1"/>
  <c r="CP32" i="1" s="1"/>
  <c r="O32" i="1" s="1"/>
  <c r="CR32" i="1"/>
  <c r="Q32" i="1" s="1"/>
  <c r="CS32" i="1"/>
  <c r="CU32" i="1"/>
  <c r="T32" i="1" s="1"/>
  <c r="CW32" i="1"/>
  <c r="V32" i="1" s="1"/>
  <c r="FR32" i="1"/>
  <c r="GL32" i="1"/>
  <c r="GN32" i="1"/>
  <c r="GO32" i="1"/>
  <c r="GV32" i="1"/>
  <c r="GX32" i="1" s="1"/>
  <c r="C33" i="1"/>
  <c r="D33" i="1"/>
  <c r="AC33" i="1"/>
  <c r="CQ33" i="1" s="1"/>
  <c r="P33" i="1" s="1"/>
  <c r="CP33" i="1" s="1"/>
  <c r="O33" i="1" s="1"/>
  <c r="AE33" i="1"/>
  <c r="CS33" i="1" s="1"/>
  <c r="R33" i="1" s="1"/>
  <c r="GK33" i="1" s="1"/>
  <c r="AF33" i="1"/>
  <c r="CT33" i="1" s="1"/>
  <c r="S33" i="1" s="1"/>
  <c r="AG33" i="1"/>
  <c r="CU33" i="1" s="1"/>
  <c r="T33" i="1" s="1"/>
  <c r="AH33" i="1"/>
  <c r="AI33" i="1"/>
  <c r="CW33" i="1" s="1"/>
  <c r="V33" i="1" s="1"/>
  <c r="AJ33" i="1"/>
  <c r="CX33" i="1" s="1"/>
  <c r="W33" i="1" s="1"/>
  <c r="CR33" i="1"/>
  <c r="Q33" i="1" s="1"/>
  <c r="CV33" i="1"/>
  <c r="U33" i="1" s="1"/>
  <c r="FR33" i="1"/>
  <c r="GL33" i="1"/>
  <c r="GN33" i="1"/>
  <c r="GO33" i="1"/>
  <c r="GV33" i="1"/>
  <c r="GX33" i="1" s="1"/>
  <c r="C34" i="1"/>
  <c r="D34" i="1"/>
  <c r="I34" i="1"/>
  <c r="AC34" i="1"/>
  <c r="CQ34" i="1" s="1"/>
  <c r="P34" i="1" s="1"/>
  <c r="AE34" i="1"/>
  <c r="AD34" i="1" s="1"/>
  <c r="AB34" i="1" s="1"/>
  <c r="AF34" i="1"/>
  <c r="CT34" i="1" s="1"/>
  <c r="S34" i="1" s="1"/>
  <c r="AG34" i="1"/>
  <c r="CU34" i="1" s="1"/>
  <c r="T34" i="1" s="1"/>
  <c r="AH34" i="1"/>
  <c r="AI34" i="1"/>
  <c r="AJ34" i="1"/>
  <c r="CX34" i="1" s="1"/>
  <c r="W34" i="1" s="1"/>
  <c r="CR34" i="1"/>
  <c r="Q34" i="1" s="1"/>
  <c r="CS34" i="1"/>
  <c r="R34" i="1" s="1"/>
  <c r="GK34" i="1" s="1"/>
  <c r="CV34" i="1"/>
  <c r="U34" i="1" s="1"/>
  <c r="CW34" i="1"/>
  <c r="V34" i="1" s="1"/>
  <c r="FR34" i="1"/>
  <c r="GL34" i="1"/>
  <c r="GN34" i="1"/>
  <c r="GO34" i="1"/>
  <c r="GV34" i="1"/>
  <c r="GX34" i="1"/>
  <c r="C35" i="1"/>
  <c r="D35" i="1"/>
  <c r="I35" i="1"/>
  <c r="AC35" i="1"/>
  <c r="CQ35" i="1" s="1"/>
  <c r="P35" i="1" s="1"/>
  <c r="AD35" i="1"/>
  <c r="AE35" i="1"/>
  <c r="AF35" i="1"/>
  <c r="AG35" i="1"/>
  <c r="CU35" i="1" s="1"/>
  <c r="T35" i="1" s="1"/>
  <c r="AH35" i="1"/>
  <c r="CV35" i="1" s="1"/>
  <c r="U35" i="1" s="1"/>
  <c r="AI35" i="1"/>
  <c r="AJ35" i="1"/>
  <c r="CR35" i="1"/>
  <c r="Q35" i="1" s="1"/>
  <c r="CS35" i="1"/>
  <c r="R35" i="1" s="1"/>
  <c r="GK35" i="1" s="1"/>
  <c r="CT35" i="1"/>
  <c r="S35" i="1" s="1"/>
  <c r="CW35" i="1"/>
  <c r="V35" i="1" s="1"/>
  <c r="CX35" i="1"/>
  <c r="W35" i="1" s="1"/>
  <c r="FR35" i="1"/>
  <c r="GL35" i="1"/>
  <c r="GN35" i="1"/>
  <c r="GO35" i="1"/>
  <c r="GV35" i="1"/>
  <c r="GX35" i="1"/>
  <c r="I36" i="1"/>
  <c r="AC36" i="1"/>
  <c r="CQ36" i="1" s="1"/>
  <c r="P36" i="1" s="1"/>
  <c r="CP36" i="1" s="1"/>
  <c r="O36" i="1" s="1"/>
  <c r="AE36" i="1"/>
  <c r="AD36" i="1" s="1"/>
  <c r="AB36" i="1" s="1"/>
  <c r="AF36" i="1"/>
  <c r="CT36" i="1" s="1"/>
  <c r="S36" i="1" s="1"/>
  <c r="AG36" i="1"/>
  <c r="CU36" i="1" s="1"/>
  <c r="T36" i="1" s="1"/>
  <c r="AH36" i="1"/>
  <c r="AI36" i="1"/>
  <c r="AJ36" i="1"/>
  <c r="CX36" i="1" s="1"/>
  <c r="W36" i="1" s="1"/>
  <c r="CR36" i="1"/>
  <c r="Q36" i="1" s="1"/>
  <c r="CS36" i="1"/>
  <c r="R36" i="1" s="1"/>
  <c r="GK36" i="1" s="1"/>
  <c r="CV36" i="1"/>
  <c r="U36" i="1" s="1"/>
  <c r="CW36" i="1"/>
  <c r="V36" i="1" s="1"/>
  <c r="FR36" i="1"/>
  <c r="GL36" i="1"/>
  <c r="GN36" i="1"/>
  <c r="GO36" i="1"/>
  <c r="GV36" i="1"/>
  <c r="GX36" i="1"/>
  <c r="I37" i="1"/>
  <c r="AC37" i="1"/>
  <c r="AE37" i="1"/>
  <c r="CS37" i="1" s="1"/>
  <c r="R37" i="1" s="1"/>
  <c r="GK37" i="1" s="1"/>
  <c r="AF37" i="1"/>
  <c r="CT37" i="1" s="1"/>
  <c r="S37" i="1" s="1"/>
  <c r="AG37" i="1"/>
  <c r="AH37" i="1"/>
  <c r="AI37" i="1"/>
  <c r="CW37" i="1" s="1"/>
  <c r="V37" i="1" s="1"/>
  <c r="AJ37" i="1"/>
  <c r="CX37" i="1" s="1"/>
  <c r="W37" i="1" s="1"/>
  <c r="CQ37" i="1"/>
  <c r="P37" i="1" s="1"/>
  <c r="CR37" i="1"/>
  <c r="Q37" i="1" s="1"/>
  <c r="CU37" i="1"/>
  <c r="T37" i="1" s="1"/>
  <c r="CV37" i="1"/>
  <c r="U37" i="1" s="1"/>
  <c r="FR37" i="1"/>
  <c r="GL37" i="1"/>
  <c r="GN37" i="1"/>
  <c r="GO37" i="1"/>
  <c r="GV37" i="1"/>
  <c r="GX37" i="1" s="1"/>
  <c r="C38" i="1"/>
  <c r="D38" i="1"/>
  <c r="I38" i="1"/>
  <c r="AC38" i="1"/>
  <c r="CQ38" i="1" s="1"/>
  <c r="P38" i="1" s="1"/>
  <c r="AE38" i="1"/>
  <c r="AD38" i="1" s="1"/>
  <c r="AB38" i="1" s="1"/>
  <c r="AF38" i="1"/>
  <c r="CT38" i="1" s="1"/>
  <c r="S38" i="1" s="1"/>
  <c r="AG38" i="1"/>
  <c r="CU38" i="1" s="1"/>
  <c r="T38" i="1" s="1"/>
  <c r="AH38" i="1"/>
  <c r="AI38" i="1"/>
  <c r="AJ38" i="1"/>
  <c r="CX38" i="1" s="1"/>
  <c r="W38" i="1" s="1"/>
  <c r="CR38" i="1"/>
  <c r="Q38" i="1" s="1"/>
  <c r="CS38" i="1"/>
  <c r="R38" i="1" s="1"/>
  <c r="GK38" i="1" s="1"/>
  <c r="CV38" i="1"/>
  <c r="U38" i="1" s="1"/>
  <c r="CW38" i="1"/>
  <c r="V38" i="1" s="1"/>
  <c r="FR38" i="1"/>
  <c r="GL38" i="1"/>
  <c r="GN38" i="1"/>
  <c r="GO38" i="1"/>
  <c r="GV38" i="1"/>
  <c r="GX38" i="1"/>
  <c r="AC39" i="1"/>
  <c r="AE39" i="1"/>
  <c r="CS39" i="1" s="1"/>
  <c r="AF39" i="1"/>
  <c r="CT39" i="1" s="1"/>
  <c r="AG39" i="1"/>
  <c r="AH39" i="1"/>
  <c r="AI39" i="1"/>
  <c r="CW39" i="1" s="1"/>
  <c r="AJ39" i="1"/>
  <c r="CX39" i="1" s="1"/>
  <c r="CQ39" i="1"/>
  <c r="CR39" i="1"/>
  <c r="CU39" i="1"/>
  <c r="CV39" i="1"/>
  <c r="FR39" i="1"/>
  <c r="GL39" i="1"/>
  <c r="GN39" i="1"/>
  <c r="GO39" i="1"/>
  <c r="GV39" i="1"/>
  <c r="C40" i="1"/>
  <c r="D40" i="1"/>
  <c r="I40" i="1"/>
  <c r="AC40" i="1"/>
  <c r="CQ40" i="1" s="1"/>
  <c r="P40" i="1" s="1"/>
  <c r="AE40" i="1"/>
  <c r="AD40" i="1" s="1"/>
  <c r="AB40" i="1" s="1"/>
  <c r="AF40" i="1"/>
  <c r="CT40" i="1" s="1"/>
  <c r="S40" i="1" s="1"/>
  <c r="AG40" i="1"/>
  <c r="CU40" i="1" s="1"/>
  <c r="T40" i="1" s="1"/>
  <c r="AH40" i="1"/>
  <c r="AI40" i="1"/>
  <c r="AJ40" i="1"/>
  <c r="CX40" i="1" s="1"/>
  <c r="W40" i="1" s="1"/>
  <c r="CR40" i="1"/>
  <c r="Q40" i="1" s="1"/>
  <c r="CS40" i="1"/>
  <c r="R40" i="1" s="1"/>
  <c r="GK40" i="1" s="1"/>
  <c r="CV40" i="1"/>
  <c r="U40" i="1" s="1"/>
  <c r="CW40" i="1"/>
  <c r="V40" i="1" s="1"/>
  <c r="FR40" i="1"/>
  <c r="GL40" i="1"/>
  <c r="GN40" i="1"/>
  <c r="GO40" i="1"/>
  <c r="GV40" i="1"/>
  <c r="GX40" i="1"/>
  <c r="B42" i="1"/>
  <c r="B26" i="1" s="1"/>
  <c r="C42" i="1"/>
  <c r="C26" i="1" s="1"/>
  <c r="D42" i="1"/>
  <c r="D26" i="1" s="1"/>
  <c r="F42" i="1"/>
  <c r="F26" i="1" s="1"/>
  <c r="G42" i="1"/>
  <c r="G26" i="1" s="1"/>
  <c r="AP42" i="1"/>
  <c r="AP26" i="1" s="1"/>
  <c r="BX42" i="1"/>
  <c r="BY42" i="1"/>
  <c r="BY26" i="1" s="1"/>
  <c r="BZ42" i="1"/>
  <c r="CG42" i="1" s="1"/>
  <c r="CB42" i="1"/>
  <c r="CC42" i="1"/>
  <c r="CC26" i="1" s="1"/>
  <c r="CK42" i="1"/>
  <c r="CK26" i="1" s="1"/>
  <c r="CL42" i="1"/>
  <c r="F51" i="1"/>
  <c r="B71" i="1"/>
  <c r="B22" i="1" s="1"/>
  <c r="C71" i="1"/>
  <c r="C22" i="1" s="1"/>
  <c r="D71" i="1"/>
  <c r="D22" i="1" s="1"/>
  <c r="F71" i="1"/>
  <c r="F22" i="1" s="1"/>
  <c r="G71" i="1"/>
  <c r="G22" i="1" s="1"/>
  <c r="AP71" i="1"/>
  <c r="AP22" i="1" s="1"/>
  <c r="F80" i="1"/>
  <c r="G16" i="2" s="1"/>
  <c r="G18" i="2" s="1"/>
  <c r="B100" i="1"/>
  <c r="B18" i="1" s="1"/>
  <c r="C100" i="1"/>
  <c r="C18" i="1" s="1"/>
  <c r="D100" i="1"/>
  <c r="D18" i="1" s="1"/>
  <c r="F100" i="1"/>
  <c r="F18" i="1" s="1"/>
  <c r="G100" i="1"/>
  <c r="G18" i="1" s="1"/>
  <c r="AP100" i="1"/>
  <c r="AP18" i="1" s="1"/>
  <c r="CG26" i="1" l="1"/>
  <c r="AX42" i="1"/>
  <c r="BX26" i="1"/>
  <c r="AO42" i="1"/>
  <c r="Q39" i="1"/>
  <c r="CY36" i="1"/>
  <c r="X36" i="1" s="1"/>
  <c r="GM36" i="1" s="1"/>
  <c r="CZ36" i="1"/>
  <c r="Y36" i="1" s="1"/>
  <c r="CY35" i="1"/>
  <c r="X35" i="1" s="1"/>
  <c r="CZ35" i="1"/>
  <c r="Y35" i="1" s="1"/>
  <c r="CY34" i="1"/>
  <c r="X34" i="1" s="1"/>
  <c r="CZ34" i="1"/>
  <c r="Y34" i="1" s="1"/>
  <c r="F109" i="1"/>
  <c r="CL26" i="1"/>
  <c r="BC42" i="1"/>
  <c r="CB26" i="1"/>
  <c r="AS42" i="1"/>
  <c r="BB42" i="1"/>
  <c r="AT42" i="1"/>
  <c r="CP40" i="1"/>
  <c r="O40" i="1" s="1"/>
  <c r="GX39" i="1"/>
  <c r="CJ42" i="1" s="1"/>
  <c r="P39" i="1"/>
  <c r="CP38" i="1"/>
  <c r="O38" i="1" s="1"/>
  <c r="CP37" i="1"/>
  <c r="O37" i="1" s="1"/>
  <c r="CY33" i="1"/>
  <c r="X33" i="1" s="1"/>
  <c r="CZ33" i="1"/>
  <c r="Y33" i="1" s="1"/>
  <c r="GP33" i="1" s="1"/>
  <c r="CY30" i="1"/>
  <c r="X30" i="1" s="1"/>
  <c r="CZ30" i="1"/>
  <c r="Y30" i="1" s="1"/>
  <c r="BZ26" i="1"/>
  <c r="AQ42" i="1"/>
  <c r="U39" i="1"/>
  <c r="AH42" i="1" s="1"/>
  <c r="W39" i="1"/>
  <c r="CY37" i="1"/>
  <c r="X37" i="1" s="1"/>
  <c r="CZ37" i="1"/>
  <c r="Y37" i="1" s="1"/>
  <c r="GP36" i="1"/>
  <c r="CP35" i="1"/>
  <c r="O35" i="1" s="1"/>
  <c r="CP34" i="1"/>
  <c r="O34" i="1" s="1"/>
  <c r="CY40" i="1"/>
  <c r="X40" i="1" s="1"/>
  <c r="CZ40" i="1"/>
  <c r="Y40" i="1" s="1"/>
  <c r="V39" i="1"/>
  <c r="AI42" i="1" s="1"/>
  <c r="R39" i="1"/>
  <c r="GK39" i="1" s="1"/>
  <c r="CY38" i="1"/>
  <c r="X38" i="1" s="1"/>
  <c r="CZ38" i="1"/>
  <c r="Y38" i="1" s="1"/>
  <c r="GM33" i="1"/>
  <c r="CX49" i="3"/>
  <c r="CX53" i="3"/>
  <c r="CX57" i="3"/>
  <c r="CX48" i="3"/>
  <c r="CX52" i="3"/>
  <c r="CX56" i="3"/>
  <c r="CX47" i="3"/>
  <c r="CX51" i="3"/>
  <c r="CX55" i="3"/>
  <c r="CX46" i="3"/>
  <c r="CX50" i="3"/>
  <c r="CX54" i="3"/>
  <c r="CX58" i="3"/>
  <c r="CX41" i="3"/>
  <c r="CX45" i="3"/>
  <c r="CX44" i="3"/>
  <c r="CX43" i="3"/>
  <c r="CX42" i="3"/>
  <c r="CX33" i="3"/>
  <c r="CX32" i="3"/>
  <c r="CX35" i="3"/>
  <c r="CX34" i="3"/>
  <c r="AB32" i="1"/>
  <c r="AD30" i="1"/>
  <c r="CS30" i="1"/>
  <c r="R30" i="1" s="1"/>
  <c r="GK30" i="1" s="1"/>
  <c r="CY28" i="1"/>
  <c r="X28" i="1" s="1"/>
  <c r="CZ28" i="1"/>
  <c r="Y28" i="1" s="1"/>
  <c r="AD39" i="1"/>
  <c r="AB39" i="1" s="1"/>
  <c r="AD37" i="1"/>
  <c r="AB37" i="1" s="1"/>
  <c r="AB35" i="1"/>
  <c r="CX37" i="3"/>
  <c r="CX36" i="3"/>
  <c r="CX40" i="3"/>
  <c r="CX39" i="3"/>
  <c r="CX38" i="3"/>
  <c r="AD33" i="1"/>
  <c r="AB33" i="1" s="1"/>
  <c r="CZ32" i="1"/>
  <c r="Y32" i="1" s="1"/>
  <c r="GP32" i="1" s="1"/>
  <c r="W31" i="1"/>
  <c r="AJ42" i="1" s="1"/>
  <c r="S31" i="1"/>
  <c r="CP31" i="1" s="1"/>
  <c r="O31" i="1" s="1"/>
  <c r="CR30" i="1"/>
  <c r="Q30" i="1" s="1"/>
  <c r="CQ30" i="1"/>
  <c r="P30" i="1" s="1"/>
  <c r="AB30" i="1"/>
  <c r="CI42" i="1"/>
  <c r="CY29" i="1"/>
  <c r="X29" i="1" s="1"/>
  <c r="CZ29" i="1"/>
  <c r="Y29" i="1" s="1"/>
  <c r="CP29" i="1"/>
  <c r="O29" i="1" s="1"/>
  <c r="CP28" i="1"/>
  <c r="O28" i="1" s="1"/>
  <c r="I39" i="1"/>
  <c r="S39" i="1" s="1"/>
  <c r="CX17" i="3"/>
  <c r="CX21" i="3"/>
  <c r="CX16" i="3"/>
  <c r="CX20" i="3"/>
  <c r="CX15" i="3"/>
  <c r="CX19" i="3"/>
  <c r="CX18" i="3"/>
  <c r="CS29" i="1"/>
  <c r="R29" i="1" s="1"/>
  <c r="AB29" i="1"/>
  <c r="CX14" i="3"/>
  <c r="CX10" i="3"/>
  <c r="CX6" i="3"/>
  <c r="CX2" i="3"/>
  <c r="CX11" i="3"/>
  <c r="CX7" i="3"/>
  <c r="CX3" i="3"/>
  <c r="CX12" i="3"/>
  <c r="CX8" i="3"/>
  <c r="CX4" i="3"/>
  <c r="CX5" i="3"/>
  <c r="CY39" i="1" l="1"/>
  <c r="X39" i="1" s="1"/>
  <c r="CZ39" i="1"/>
  <c r="Y39" i="1" s="1"/>
  <c r="AI26" i="1"/>
  <c r="V42" i="1"/>
  <c r="CP30" i="1"/>
  <c r="O30" i="1" s="1"/>
  <c r="AC42" i="1"/>
  <c r="GP34" i="1"/>
  <c r="GM34" i="1"/>
  <c r="AS26" i="1"/>
  <c r="F59" i="1"/>
  <c r="AS71" i="1"/>
  <c r="GK29" i="1"/>
  <c r="AE42" i="1"/>
  <c r="AD42" i="1"/>
  <c r="GM32" i="1"/>
  <c r="T39" i="1"/>
  <c r="AG42" i="1" s="1"/>
  <c r="GP35" i="1"/>
  <c r="GM35" i="1"/>
  <c r="AQ26" i="1"/>
  <c r="F52" i="1"/>
  <c r="AQ71" i="1"/>
  <c r="GP37" i="1"/>
  <c r="GM37" i="1"/>
  <c r="GP40" i="1"/>
  <c r="GM40" i="1"/>
  <c r="AO26" i="1"/>
  <c r="AO71" i="1"/>
  <c r="F46" i="1"/>
  <c r="GP29" i="1"/>
  <c r="GM29" i="1"/>
  <c r="CJ26" i="1"/>
  <c r="BA42" i="1"/>
  <c r="GP28" i="1"/>
  <c r="GM28" i="1"/>
  <c r="AB42" i="1"/>
  <c r="CI26" i="1"/>
  <c r="AZ42" i="1"/>
  <c r="CZ31" i="1"/>
  <c r="Y31" i="1" s="1"/>
  <c r="AL42" i="1" s="1"/>
  <c r="CY31" i="1"/>
  <c r="X31" i="1" s="1"/>
  <c r="GM31" i="1" s="1"/>
  <c r="AF42" i="1"/>
  <c r="GP38" i="1"/>
  <c r="GM38" i="1"/>
  <c r="AT26" i="1"/>
  <c r="F60" i="1"/>
  <c r="AT71" i="1"/>
  <c r="BC26" i="1"/>
  <c r="BC71" i="1"/>
  <c r="F58" i="1"/>
  <c r="CP39" i="1"/>
  <c r="O39" i="1" s="1"/>
  <c r="BB26" i="1"/>
  <c r="F55" i="1"/>
  <c r="BB71" i="1"/>
  <c r="AX26" i="1"/>
  <c r="AX71" i="1"/>
  <c r="F49" i="1"/>
  <c r="AJ26" i="1"/>
  <c r="W42" i="1"/>
  <c r="AH26" i="1"/>
  <c r="U42" i="1"/>
  <c r="AL26" i="1" l="1"/>
  <c r="Y42" i="1"/>
  <c r="AX22" i="1"/>
  <c r="F78" i="1"/>
  <c r="AX100" i="1"/>
  <c r="AT22" i="1"/>
  <c r="F89" i="1"/>
  <c r="F16" i="2" s="1"/>
  <c r="F18" i="2" s="1"/>
  <c r="AT100" i="1"/>
  <c r="BB22" i="1"/>
  <c r="F84" i="1"/>
  <c r="BB100" i="1"/>
  <c r="AZ26" i="1"/>
  <c r="F53" i="1"/>
  <c r="AZ71" i="1"/>
  <c r="AQ22" i="1"/>
  <c r="F81" i="1"/>
  <c r="AQ100" i="1"/>
  <c r="AE26" i="1"/>
  <c r="R42" i="1"/>
  <c r="GP30" i="1"/>
  <c r="CD42" i="1" s="1"/>
  <c r="GM30" i="1"/>
  <c r="W26" i="1"/>
  <c r="F66" i="1"/>
  <c r="W71" i="1"/>
  <c r="CA42" i="1"/>
  <c r="AD26" i="1"/>
  <c r="Q42" i="1"/>
  <c r="U26" i="1"/>
  <c r="F64" i="1"/>
  <c r="U71" i="1"/>
  <c r="BC22" i="1"/>
  <c r="BC100" i="1"/>
  <c r="F87" i="1"/>
  <c r="AF26" i="1"/>
  <c r="S42" i="1"/>
  <c r="BA26" i="1"/>
  <c r="F62" i="1"/>
  <c r="BA71" i="1"/>
  <c r="AG26" i="1"/>
  <c r="T42" i="1"/>
  <c r="AK42" i="1"/>
  <c r="AB26" i="1"/>
  <c r="O42" i="1"/>
  <c r="AO22" i="1"/>
  <c r="F75" i="1"/>
  <c r="AO100" i="1"/>
  <c r="AS22" i="1"/>
  <c r="F88" i="1"/>
  <c r="E16" i="2" s="1"/>
  <c r="AS100" i="1"/>
  <c r="V26" i="1"/>
  <c r="F65" i="1"/>
  <c r="V71" i="1"/>
  <c r="GP31" i="1"/>
  <c r="GP39" i="1"/>
  <c r="GM39" i="1"/>
  <c r="AC26" i="1"/>
  <c r="CE42" i="1"/>
  <c r="P42" i="1"/>
  <c r="CF42" i="1"/>
  <c r="CH42" i="1"/>
  <c r="CD26" i="1" l="1"/>
  <c r="AU42" i="1"/>
  <c r="AZ22" i="1"/>
  <c r="F82" i="1"/>
  <c r="AZ100" i="1"/>
  <c r="E18" i="2"/>
  <c r="T26" i="1"/>
  <c r="F63" i="1"/>
  <c r="T71" i="1"/>
  <c r="BC18" i="1"/>
  <c r="F116" i="1"/>
  <c r="W22" i="1"/>
  <c r="F95" i="1"/>
  <c r="W100" i="1"/>
  <c r="AX18" i="1"/>
  <c r="F107" i="1"/>
  <c r="CF26" i="1"/>
  <c r="AW42" i="1"/>
  <c r="O26" i="1"/>
  <c r="F44" i="1"/>
  <c r="O71" i="1"/>
  <c r="S26" i="1"/>
  <c r="F57" i="1"/>
  <c r="S71" i="1"/>
  <c r="Q26" i="1"/>
  <c r="Q71" i="1"/>
  <c r="F54" i="1"/>
  <c r="R26" i="1"/>
  <c r="F56" i="1"/>
  <c r="R71" i="1"/>
  <c r="AT18" i="1"/>
  <c r="F118" i="1"/>
  <c r="CA26" i="1"/>
  <c r="AR42" i="1"/>
  <c r="AQ18" i="1"/>
  <c r="F110" i="1"/>
  <c r="CH26" i="1"/>
  <c r="AY42" i="1"/>
  <c r="V22" i="1"/>
  <c r="F94" i="1"/>
  <c r="V100" i="1"/>
  <c r="P26" i="1"/>
  <c r="P71" i="1"/>
  <c r="F45" i="1"/>
  <c r="AO18" i="1"/>
  <c r="F104" i="1"/>
  <c r="BA22" i="1"/>
  <c r="F91" i="1"/>
  <c r="BA100" i="1"/>
  <c r="U22" i="1"/>
  <c r="F93" i="1"/>
  <c r="U100" i="1"/>
  <c r="BB18" i="1"/>
  <c r="F113" i="1"/>
  <c r="CE26" i="1"/>
  <c r="AV42" i="1"/>
  <c r="AS18" i="1"/>
  <c r="F117" i="1"/>
  <c r="Y26" i="1"/>
  <c r="F68" i="1"/>
  <c r="Y71" i="1"/>
  <c r="AK26" i="1"/>
  <c r="X42" i="1"/>
  <c r="Y22" i="1" l="1"/>
  <c r="F97" i="1"/>
  <c r="Y100" i="1"/>
  <c r="BA18" i="1"/>
  <c r="F120" i="1"/>
  <c r="S22" i="1"/>
  <c r="S100" i="1"/>
  <c r="F86" i="1"/>
  <c r="J16" i="2" s="1"/>
  <c r="J18" i="2" s="1"/>
  <c r="AZ18" i="1"/>
  <c r="F111" i="1"/>
  <c r="X26" i="1"/>
  <c r="F67" i="1"/>
  <c r="X71" i="1"/>
  <c r="P22" i="1"/>
  <c r="P100" i="1"/>
  <c r="F74" i="1"/>
  <c r="V18" i="1"/>
  <c r="F123" i="1"/>
  <c r="O22" i="1"/>
  <c r="F73" i="1"/>
  <c r="O100" i="1"/>
  <c r="T22" i="1"/>
  <c r="F92" i="1"/>
  <c r="T100" i="1"/>
  <c r="AU26" i="1"/>
  <c r="AU71" i="1"/>
  <c r="F61" i="1"/>
  <c r="AV26" i="1"/>
  <c r="F47" i="1"/>
  <c r="AV71" i="1"/>
  <c r="U18" i="1"/>
  <c r="F122" i="1"/>
  <c r="AY26" i="1"/>
  <c r="AY71" i="1"/>
  <c r="F50" i="1"/>
  <c r="AR26" i="1"/>
  <c r="F69" i="1"/>
  <c r="AR71" i="1"/>
  <c r="R22" i="1"/>
  <c r="F85" i="1"/>
  <c r="R100" i="1"/>
  <c r="Q22" i="1"/>
  <c r="Q100" i="1"/>
  <c r="F83" i="1"/>
  <c r="AW26" i="1"/>
  <c r="F48" i="1"/>
  <c r="AW71" i="1"/>
  <c r="W18" i="1"/>
  <c r="F124" i="1"/>
  <c r="AY22" i="1" l="1"/>
  <c r="F79" i="1"/>
  <c r="AY100" i="1"/>
  <c r="AU22" i="1"/>
  <c r="AU100" i="1"/>
  <c r="F90" i="1"/>
  <c r="H16" i="2" s="1"/>
  <c r="X22" i="1"/>
  <c r="X100" i="1"/>
  <c r="F96" i="1"/>
  <c r="T18" i="1"/>
  <c r="F121" i="1"/>
  <c r="AR22" i="1"/>
  <c r="F98" i="1"/>
  <c r="AR100" i="1"/>
  <c r="AV22" i="1"/>
  <c r="F76" i="1"/>
  <c r="AV100" i="1"/>
  <c r="R18" i="1"/>
  <c r="F114" i="1"/>
  <c r="O18" i="1"/>
  <c r="F102" i="1"/>
  <c r="AW22" i="1"/>
  <c r="F77" i="1"/>
  <c r="AW100" i="1"/>
  <c r="Q18" i="1"/>
  <c r="F112" i="1"/>
  <c r="P18" i="1"/>
  <c r="F103" i="1"/>
  <c r="S18" i="1"/>
  <c r="F115" i="1"/>
  <c r="Y18" i="1"/>
  <c r="F126" i="1"/>
  <c r="AR18" i="1" l="1"/>
  <c r="F127" i="1"/>
  <c r="F128" i="1" s="1"/>
  <c r="AV18" i="1"/>
  <c r="F105" i="1"/>
  <c r="AW18" i="1"/>
  <c r="F106" i="1"/>
  <c r="X18" i="1"/>
  <c r="F125" i="1"/>
  <c r="H18" i="2"/>
  <c r="I16" i="2"/>
  <c r="I18" i="2" s="1"/>
  <c r="AU18" i="1"/>
  <c r="F119" i="1"/>
  <c r="AY18" i="1"/>
  <c r="F108" i="1"/>
  <c r="F129" i="1" l="1"/>
  <c r="F130" i="1" s="1"/>
</calcChain>
</file>

<file path=xl/sharedStrings.xml><?xml version="1.0" encoding="utf-8"?>
<sst xmlns="http://schemas.openxmlformats.org/spreadsheetml/2006/main" count="1799" uniqueCount="290">
  <si>
    <t>Smeta.RU  (495) 974-1589</t>
  </si>
  <si>
    <t>_PS_</t>
  </si>
  <si>
    <t>Smeta.RU</t>
  </si>
  <si>
    <t/>
  </si>
  <si>
    <t>Новый объект_(Копия)</t>
  </si>
  <si>
    <t>Текущий ремонт в ГБОУ Школа №1297 по адресу: Глинистый пер., 7 с 1,2._(Копия)</t>
  </si>
  <si>
    <t>Сметные нормы списания</t>
  </si>
  <si>
    <t>Коды ОКП для СН-2012 - 2018 г.</t>
  </si>
  <si>
    <t>СН-2012 - 2018 г_глава_1-5</t>
  </si>
  <si>
    <t>Типовой расчет для СН-2012 - 2018 г</t>
  </si>
  <si>
    <t>СН-2012-2018 г. База данных "Сборник стоимостных нормативов"</t>
  </si>
  <si>
    <t>Новая локальная смета</t>
  </si>
  <si>
    <t>Новый раздел</t>
  </si>
  <si>
    <t>Спортзал.</t>
  </si>
  <si>
    <t>1</t>
  </si>
  <si>
    <t>1.13-3201-16-5/1</t>
  </si>
  <si>
    <t>Окрашивание ранее окрашенных поверхностей стен водоэмульсионными поливинилацетатными составами, ранее окрашенных водоэмульсионной краской с расчисткой старой краски до 35%</t>
  </si>
  <si>
    <t>100 м2</t>
  </si>
  <si>
    <t>СН-2012-2018.1. База. Сб.13-3201-16-5/1</t>
  </si>
  <si>
    <t>)*1,1</t>
  </si>
  <si>
    <t>СН-2012</t>
  </si>
  <si>
    <t>Подрядные работы, гл. 1-5</t>
  </si>
  <si>
    <t>работа</t>
  </si>
  <si>
    <t>2</t>
  </si>
  <si>
    <t>1.13-3201-19-4/1</t>
  </si>
  <si>
    <t>Окраска масляными составами за два раза ранее окрашенных металлических поверхностей радиаторов и ребристых труб</t>
  </si>
  <si>
    <t>СН-2012-2018.1. База. Сб.13-3201-19-4/1</t>
  </si>
  <si>
    <t>3</t>
  </si>
  <si>
    <t>1.13-3201-19-2/1</t>
  </si>
  <si>
    <t>Окраска масляными составами за два раза ранее окрашенных металлических поверхностей стальных труб</t>
  </si>
  <si>
    <t>СН-2012-2018.1. База. Сб.13-3201-19-2/1</t>
  </si>
  <si>
    <t>4</t>
  </si>
  <si>
    <t>1.13-5302-4-4/2</t>
  </si>
  <si>
    <t>Улучшенная масляная окраска деревянных поверхностей дверей и профилированных облицовок с частичной предварительной расчисткой до 10% (краски масляные жидкотертые цветные марка МА-15)</t>
  </si>
  <si>
    <t>10 м2</t>
  </si>
  <si>
    <t>СН-2012-2018.1. Доп.2. Сб.13-5302-4-4/2</t>
  </si>
  <si>
    <t>5</t>
  </si>
  <si>
    <t>1.50-3203-2-1/1</t>
  </si>
  <si>
    <t>Изготовление декоративного деревянного экрана на регистры отопления</t>
  </si>
  <si>
    <t>м2</t>
  </si>
  <si>
    <t>СН-2012-2018.1. База. Сб.50-3203-2-1/1</t>
  </si>
  <si>
    <t>6</t>
  </si>
  <si>
    <t>1.50-3203-2-2/1</t>
  </si>
  <si>
    <t>Установка декоративного деревянного экрана на регистры отопления</t>
  </si>
  <si>
    <t>СН-2012-2018.1. База. Сб.50-3203-2-2/1</t>
  </si>
  <si>
    <t>7</t>
  </si>
  <si>
    <t>1.13-3203-12-1/1</t>
  </si>
  <si>
    <t>Улучшенная окраска стен колером масляным разбеленным по дереву/деревянный экран</t>
  </si>
  <si>
    <t>СН-2012-2018.1. База. Сб.13-3203-12-1/1</t>
  </si>
  <si>
    <t>8</t>
  </si>
  <si>
    <t>1.13-3605-1-6/1</t>
  </si>
  <si>
    <t>Обделка выступающих углов стен наличниками из хвойных пород по дереву (без окраски)</t>
  </si>
  <si>
    <t>100 м</t>
  </si>
  <si>
    <t>СН-2012-2018.1. Доп.2. Сб.13-3605-1-6/1</t>
  </si>
  <si>
    <t>8,1</t>
  </si>
  <si>
    <t>21.9-12-43</t>
  </si>
  <si>
    <t>Наличники хвойных пород, проолифленные, сечение 74х13 мм</t>
  </si>
  <si>
    <t>м</t>
  </si>
  <si>
    <t>СН-2012-2018.21. Доп.2. Р.9, о.12, поз.43</t>
  </si>
  <si>
    <t>8,2</t>
  </si>
  <si>
    <t>21.9-12-35</t>
  </si>
  <si>
    <t>Наличники хвойных пород, окрашенные, сечение 54х13 мм</t>
  </si>
  <si>
    <t>СН-2012-2018.21. Доп.2. Р.9, о.12, поз.35</t>
  </si>
  <si>
    <t>9</t>
  </si>
  <si>
    <t>1.10-3403-2-2/1</t>
  </si>
  <si>
    <t>Устройство покрытий дощатых толщиной, мм 36</t>
  </si>
  <si>
    <t>СН-2012-2018.1. База. Сб.10-3403-2-2/1</t>
  </si>
  <si>
    <t>9,1</t>
  </si>
  <si>
    <t>21.9-12-13</t>
  </si>
  <si>
    <t>Доски хвойных пород для покрытия пола, со шпунтом и гребнем, антисептированные, толщина 36 мм</t>
  </si>
  <si>
    <t>м3</t>
  </si>
  <si>
    <t>СН-2012-2018.21. Доп.2. Р.9, о.12, поз.13</t>
  </si>
  <si>
    <t>10</t>
  </si>
  <si>
    <t>1.10-3203-3-7/1</t>
  </si>
  <si>
    <t>Устройство тепло - и звукоизоляции пола из фанеры толщиной 10 мм</t>
  </si>
  <si>
    <t>СН-2012-2018.1. Доп.2. Сб.10-3203-3-7/1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</si>
  <si>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</si>
  <si>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</si>
  <si>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</si>
  <si>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</si>
  <si>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</si>
  <si>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</si>
  <si>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</si>
  <si>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</si>
  <si>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</si>
  <si>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</si>
  <si>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</si>
  <si>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</si>
  <si>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</si>
  <si>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</si>
  <si>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</si>
  <si>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</si>
  <si>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</si>
  <si>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</si>
  <si>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</si>
  <si>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</si>
  <si>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</si>
  <si>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</si>
  <si>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</si>
  <si>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</si>
  <si>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</si>
  <si>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</si>
  <si>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</si>
  <si>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</si>
  <si>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</si>
  <si>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</si>
  <si>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</si>
  <si>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</si>
  <si>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</si>
  <si>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</si>
  <si>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</si>
  <si>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</si>
  <si>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</si>
  <si>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</si>
  <si>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</si>
  <si>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</si>
  <si>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</si>
  <si>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</si>
  <si>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</si>
  <si>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</si>
  <si>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</si>
  <si>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</si>
  <si>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</si>
  <si>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</si>
  <si>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</si>
  <si>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</si>
  <si>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</si>
  <si>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</si>
  <si>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и1</t>
  </si>
  <si>
    <t>Итого</t>
  </si>
  <si>
    <t>и2</t>
  </si>
  <si>
    <t>НДС 18%</t>
  </si>
  <si>
    <t>и3</t>
  </si>
  <si>
    <t>Уровень цен на 01.01.2018 г</t>
  </si>
  <si>
    <t>_OBSM_</t>
  </si>
  <si>
    <t>9999990008</t>
  </si>
  <si>
    <t>Трудозатраты рабочих</t>
  </si>
  <si>
    <t>чел.-ч.</t>
  </si>
  <si>
    <t>21.1-25-13</t>
  </si>
  <si>
    <t>СН-2012-2018.21. База. Р.1, о.25, поз.13</t>
  </si>
  <si>
    <t>Вода</t>
  </si>
  <si>
    <t>21.1-25-187</t>
  </si>
  <si>
    <t>СН-2012-2018.21. База. Р.1, о.25, поз.187</t>
  </si>
  <si>
    <t>Мел молотый</t>
  </si>
  <si>
    <t>т</t>
  </si>
  <si>
    <t>21.1-25-193</t>
  </si>
  <si>
    <t>СН-2012-2018.21. База. Р.1, о.25, поз.193</t>
  </si>
  <si>
    <t>Мыло твердое</t>
  </si>
  <si>
    <t>21.1-25-388</t>
  </si>
  <si>
    <t>СН-2012-2018.21. База. Р.1, о.25, поз.388</t>
  </si>
  <si>
    <t>Шкурка шлифовальная на бумажной основе</t>
  </si>
  <si>
    <t>21.1-25-407</t>
  </si>
  <si>
    <t>СН-2012-2018.21. База. Р.1, о.25, поз.407</t>
  </si>
  <si>
    <t>Шпатлевка масляно-клеевая универсальная</t>
  </si>
  <si>
    <t>21.1-25-88</t>
  </si>
  <si>
    <t>СН-2012-2018.21. База. Р.1, о.25, поз.88</t>
  </si>
  <si>
    <t>Клей малярный</t>
  </si>
  <si>
    <t>21.1-6-38</t>
  </si>
  <si>
    <t>СН-2012-2018.21. База. Р.1, о.6, поз.38</t>
  </si>
  <si>
    <t>Краски водно-дисперсионные поливинилацетатные, белые, марка ВД-ВА-27А, Э-ВА-27Т</t>
  </si>
  <si>
    <t>21.1-6-44</t>
  </si>
  <si>
    <t>СН-2012-2018.21. База. Р.1, о.6, поз.44</t>
  </si>
  <si>
    <t>Краски масляные жидкотертые цветные (готовые к употреблению) для наружных и внутренних работ, марка МА-15</t>
  </si>
  <si>
    <t>21.1-6-90</t>
  </si>
  <si>
    <t>СН-2012-2018.21. База. Р.1, о.6, поз.90</t>
  </si>
  <si>
    <t>Олифа для окраски комбинированная "Оксоль"</t>
  </si>
  <si>
    <t>кг</t>
  </si>
  <si>
    <t>21.1-20-7</t>
  </si>
  <si>
    <t>СН-2012-2018.21. Доп.2. Р.1, о.20, поз.7</t>
  </si>
  <si>
    <t>Ветошь</t>
  </si>
  <si>
    <t>СН-2012-2018.21. Доп.2. Р.1, о.25, поз.388</t>
  </si>
  <si>
    <t>21.1-6-114</t>
  </si>
  <si>
    <t>Растворитель "Уайт-спирит"</t>
  </si>
  <si>
    <t>СН-2012-2018.21. Доп.2. Р.1, о.6, поз.90</t>
  </si>
  <si>
    <t>22.1-30-27</t>
  </si>
  <si>
    <t>СН-2012-2018.22. База. п.1-30-27 (306101)</t>
  </si>
  <si>
    <t>Пилы дисковые электрические для резки пиломатериалов</t>
  </si>
  <si>
    <t>маш.-ч</t>
  </si>
  <si>
    <t>22.1-30-28</t>
  </si>
  <si>
    <t>СН-2012-2018.22. База. п.1-30-28 (306204)</t>
  </si>
  <si>
    <t>Пилы маятниковые, диаметр диска 400 мм</t>
  </si>
  <si>
    <t>22.1-30-52</t>
  </si>
  <si>
    <t>СН-2012-2018.22. База. п.1-30-52 (308701)</t>
  </si>
  <si>
    <t>Станки фрезерные</t>
  </si>
  <si>
    <t>22.1-30-74</t>
  </si>
  <si>
    <t>СН-2012-2018.22. База. п.1-30-74 (352005)</t>
  </si>
  <si>
    <t>Вентиляторы радиальные общего назначения, производительность до 15000 м3/ч</t>
  </si>
  <si>
    <t>21.1-11-46</t>
  </si>
  <si>
    <t>СН-2012-2018.21. База. Р.1, о.11, поз.46</t>
  </si>
  <si>
    <t>Гвозди строительные</t>
  </si>
  <si>
    <t>21.1-9-46</t>
  </si>
  <si>
    <t>СН-2012-2018.21. База. Р.1, о.9, поз.46</t>
  </si>
  <si>
    <t>Доски хвойных пород, обрезные, длина 2-6,5 м, сорт I, толщина 25-32 мм</t>
  </si>
  <si>
    <t>22.1-30-102</t>
  </si>
  <si>
    <t>СН-2012-2018.22. База. п.1-30-102 (303704)</t>
  </si>
  <si>
    <t>Дрели электрические, двухскоростные, мощностью 600 Вт</t>
  </si>
  <si>
    <t>21.6-1-13</t>
  </si>
  <si>
    <t>СН-2012-2018.21. База. Р.6, о.1, поз.13</t>
  </si>
  <si>
    <t>Конструктивные элементы вспом.назначения,эл-ты крепл.подвес. потолков,трубопр.,воздухов.,закл.детали,детали крепл.стен.панелей,ворот,переплетов решеток,массой не более 50 кг, с преобл.толстолист.стали с отверстиями</t>
  </si>
  <si>
    <t>21.1-6-47</t>
  </si>
  <si>
    <t>СН-2012-2018.21. База. Р.1, о.6, поз.47</t>
  </si>
  <si>
    <t>Краски масляные жидкотертые цветные (готовые к употреблению) для наружных и внутренних работ, марка МА-22</t>
  </si>
  <si>
    <t>СН-2012-2018.21. Доп.2. Р.1, о.11, поз.46</t>
  </si>
  <si>
    <t>22.1-30-30</t>
  </si>
  <si>
    <t>СН-2012-2018.22. База. п.1-30-30 (306301)</t>
  </si>
  <si>
    <t>Рубанки ручные электрические</t>
  </si>
  <si>
    <t>СН-2012-2018.21. База. Р.9, о.12, поз.13</t>
  </si>
  <si>
    <t>22.1-14-13</t>
  </si>
  <si>
    <t>СН-2012-2018.22. Доп.2. п.1-14-13 (148501)</t>
  </si>
  <si>
    <t>Пылесосы</t>
  </si>
  <si>
    <t>СН-2012-2018.22. Доп.2. п.1-30-102 (303704)</t>
  </si>
  <si>
    <t>22.1-30-24</t>
  </si>
  <si>
    <t>СН-2012-2018.22. Доп.2. п.1-30-24 (305901)</t>
  </si>
  <si>
    <t>Машины для шлифовки паркета дисковые</t>
  </si>
  <si>
    <t>СН-2012-2018.22. Доп.2. п.1-30-27 (306101)</t>
  </si>
  <si>
    <t>22.1-4-8</t>
  </si>
  <si>
    <t>СН-2012-2018.22. Доп.2. п.1-4-8 (040201)</t>
  </si>
  <si>
    <t>Погрузчики на автомобильном ходу, грузоподъемность до 1 т</t>
  </si>
  <si>
    <t>21.1-11-70</t>
  </si>
  <si>
    <t>СН-2012-2018.21. Доп.2. Р.1, о.11, поз.70</t>
  </si>
  <si>
    <t>Дюбель-гвоздь стальной, диаметр 6 мм, длина 40 мм</t>
  </si>
  <si>
    <t>100 шт.</t>
  </si>
  <si>
    <t>21.1-16-122</t>
  </si>
  <si>
    <t>СН-2012-2018.21. Доп.2. Р.1, о.16, поз.122</t>
  </si>
  <si>
    <t>Этилацетат (эфир этиловый) чистый</t>
  </si>
  <si>
    <t>21.1-25-89</t>
  </si>
  <si>
    <t>СН-2012-2018.21. Доп.2. Р.1, о.25, поз.89</t>
  </si>
  <si>
    <t>Клей мастика (резиновый), КН-2</t>
  </si>
  <si>
    <t>21.1-25-90</t>
  </si>
  <si>
    <t>СН-2012-2018.21. Доп.2. Р.1, о.25, поз.90</t>
  </si>
  <si>
    <t>Клей мастика, КН-3</t>
  </si>
  <si>
    <t>21.1-4-3</t>
  </si>
  <si>
    <t>СН-2012-2018.21. Доп.2. Р.1, о.4, поз.3</t>
  </si>
  <si>
    <t>Бензин</t>
  </si>
  <si>
    <t>21.1-9-83</t>
  </si>
  <si>
    <t>СН-2012-2018.21. Доп.2. Р.1, о.9, поз.83</t>
  </si>
  <si>
    <t>Фанера клееная обрезная, сорт В/ВВ, марка ФСФ, толщина 10 мм</t>
  </si>
  <si>
    <t>"СОГЛАСОВАНО"</t>
  </si>
  <si>
    <t>"УТВЕРЖДАЮ"</t>
  </si>
  <si>
    <t>Форма № 1а (глава 1-5)</t>
  </si>
  <si>
    <t>"_____"________________ 2018 г.</t>
  </si>
  <si>
    <t>(локальный сметный расчет)</t>
  </si>
  <si>
    <t>(наименование работ и затрат, наименование объекта)</t>
  </si>
  <si>
    <t>Сметная стоимость</t>
  </si>
  <si>
    <t>тыс.руб</t>
  </si>
  <si>
    <t>Строительные работы</t>
  </si>
  <si>
    <t>Монтажные работы</t>
  </si>
  <si>
    <t>Оборудование</t>
  </si>
  <si>
    <t>Прочие работы</t>
  </si>
  <si>
    <t>Средства на оплату труда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</si>
  <si>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</si>
  <si>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</si>
  <si>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</si>
  <si>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</si>
  <si>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</si>
  <si>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</si>
  <si>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</si>
  <si>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</si>
  <si>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Коэфф. пересчета</t>
  </si>
  <si>
    <t>ВСЕГО затрат, руб.</t>
  </si>
  <si>
    <t>Справочно</t>
  </si>
  <si>
    <t>ЗТР, всего чел.-час</t>
  </si>
  <si>
    <t>Ст-ть ед. с начислен.</t>
  </si>
  <si>
    <t>Составлен(а) в уровне текущих (прогнозных) цен январь 2018 года</t>
  </si>
  <si>
    <t>ЗП</t>
  </si>
  <si>
    <t>МР</t>
  </si>
  <si>
    <t>НР от ЗП</t>
  </si>
  <si>
    <t>%</t>
  </si>
  <si>
    <t>СП от ЗП</t>
  </si>
  <si>
    <t>ЗТР</t>
  </si>
  <si>
    <t>чел-ч</t>
  </si>
  <si>
    <t>ЭМ</t>
  </si>
  <si>
    <t>в т.ч. ЗПМ</t>
  </si>
  <si>
    <t>НР и СП от ЗПМ</t>
  </si>
  <si>
    <t xml:space="preserve">Составил   </t>
  </si>
  <si>
    <t>[должность,подпись(инициалы,фамилия)]</t>
  </si>
  <si>
    <t xml:space="preserve">Проверил   </t>
  </si>
  <si>
    <t>___________________________</t>
  </si>
  <si>
    <t>" ___ " ___________ 20 ___ г.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</si>
  <si>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</si>
  <si>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</si>
  <si>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</si>
  <si>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№ п/п</t>
  </si>
  <si>
    <t>Количество</t>
  </si>
  <si>
    <t>Примечание</t>
  </si>
  <si>
    <t>Заказчик _________________</t>
  </si>
  <si>
    <t>Подрядчик _________________</t>
  </si>
  <si>
    <t>С учетом аукционного снижения общая стоимость составила 245 777,25 (двести сорок пять тысяч семьсот семьдесят семь) рублей 25 копеек</t>
  </si>
  <si>
    <t>изменить на 14,8</t>
  </si>
  <si>
    <t>изменить на 0,148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</si>
</sst>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#,##0.00####;[Red]\-\ #,##0.00####"/>
    <numFmt numFmtId="166" formatCode="#,##0.00;[Red]\-\ #,##0.00"/>
  </numFmts>
  <fonts count="17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wrapText="1"/>
    </xf>
    <xf numFmtId="164" fontId="10" fillId="0" borderId="0" xfId="0" applyNumberFormat="1" applyFont="1"/>
    <xf numFmtId="1" fontId="10" fillId="0" borderId="0" xfId="0" applyNumberFormat="1" applyFont="1"/>
    <xf numFmtId="0" fontId="1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166" fontId="0" fillId="0" borderId="0" xfId="0" applyNumberFormat="1"/>
    <xf numFmtId="0" fontId="16" fillId="0" borderId="0" xfId="0" applyFont="1" applyAlignment="1">
      <alignment horizontal="right"/>
    </xf>
    <xf numFmtId="0" fontId="0" fillId="0" borderId="6" xfId="0" applyBorder="1"/>
    <xf numFmtId="166" fontId="16" fillId="0" borderId="6" xfId="0" applyNumberFormat="1" applyFont="1" applyBorder="1" applyAlignment="1">
      <alignment horizontal="right"/>
    </xf>
    <xf numFmtId="166" fontId="15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right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10" fillId="0" borderId="1" xfId="0" applyFont="1" applyBorder="1"/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right"/>
    </xf>
    <xf numFmtId="0" fontId="16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right" wrapText="1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0" fontId="1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166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6" fontId="16" fillId="0" borderId="6" xfId="0" applyNumberFormat="1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166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166" fontId="10" fillId="0" borderId="0" xfId="0" applyNumberFormat="1" applyFont="1" applyFill="1" applyAlignment="1">
      <alignment horizontal="right"/>
    </xf>
    <xf numFmtId="0" fontId="0" fillId="0" borderId="0" xfId="0" applyFill="1"/>
    <xf numFmtId="0" fontId="8" fillId="0" borderId="0" xfId="0" applyFont="1" applyFill="1" applyAlignment="1">
      <alignment wrapText="1"/>
    </xf>
    <xf numFmtId="166" fontId="15" fillId="0" borderId="0" xfId="0" applyNumberFormat="1" applyFont="1" applyFill="1" applyAlignment="1">
      <alignment horizontal="right"/>
    </xf>
    <xf numFmtId="0" fontId="0" fillId="0" borderId="6" xfId="0" applyFill="1" applyBorder="1"/>
    <xf numFmtId="166" fontId="16" fillId="0" borderId="6" xfId="0" applyNumberFormat="1" applyFont="1" applyFill="1" applyBorder="1" applyAlignment="1">
      <alignment horizontal="right"/>
    </xf>
    <xf numFmtId="166" fontId="16" fillId="0" borderId="6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5"/>
  <sheetViews>
    <sheetView tabSelected="1" zoomScaleNormal="100" workbookViewId="0">
      <selection activeCell="F67" sqref="F67:G6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9" max="11" width="12.7109375" customWidth="1"/>
    <col min="15" max="31" width="0" hidden="1" customWidth="1"/>
    <col min="32" max="32" width="113.140625" hidden="1" customWidth="1"/>
    <col min="33" max="36" width="0" hidden="1" customWidth="1"/>
  </cols>
  <sheetData>
    <row r="1" spans="1:11" x14ac:dyDescent="0.2">
      <c r="A1" s="8" t="str">
        <f>CONCATENATE(Source!B1, "     СН-2012 (© ОАО МЦЦС 'Мосстройцены', ", "2018", ")")</f>
        <v>Smeta.RU  (495) 974-1589     СН-2012 (© ОАО МЦЦС 'Мосстройцены', 2018)</v>
      </c>
    </row>
    <row r="2" spans="1:11" ht="14.25" x14ac:dyDescent="0.2">
      <c r="A2" s="9"/>
      <c r="B2" s="9"/>
      <c r="C2" s="9"/>
      <c r="D2" s="9"/>
      <c r="E2" s="9"/>
      <c r="F2" s="9"/>
      <c r="G2" s="9"/>
      <c r="H2" s="9"/>
      <c r="I2" s="9"/>
      <c r="J2" s="57" t="s">
        <v>239</v>
      </c>
      <c r="K2" s="57"/>
    </row>
    <row r="3" spans="1:11" ht="16.5" x14ac:dyDescent="0.25">
      <c r="A3" s="11"/>
      <c r="B3" s="54" t="s">
        <v>237</v>
      </c>
      <c r="C3" s="54"/>
      <c r="D3" s="54"/>
      <c r="E3" s="54"/>
      <c r="F3" s="10"/>
      <c r="G3" s="54" t="s">
        <v>238</v>
      </c>
      <c r="H3" s="54"/>
      <c r="I3" s="54"/>
      <c r="J3" s="54"/>
      <c r="K3" s="54"/>
    </row>
    <row r="4" spans="1:11" ht="14.25" x14ac:dyDescent="0.2">
      <c r="A4" s="10"/>
      <c r="B4" s="55"/>
      <c r="C4" s="55"/>
      <c r="D4" s="55"/>
      <c r="E4" s="55"/>
      <c r="F4" s="10"/>
      <c r="G4" s="55"/>
      <c r="H4" s="55"/>
      <c r="I4" s="55"/>
      <c r="J4" s="55"/>
      <c r="K4" s="55"/>
    </row>
    <row r="5" spans="1:11" ht="14.25" x14ac:dyDescent="0.2">
      <c r="A5" s="12"/>
      <c r="B5" s="12"/>
      <c r="C5" s="13"/>
      <c r="D5" s="13"/>
      <c r="E5" s="13"/>
      <c r="F5" s="10"/>
      <c r="G5" s="14"/>
      <c r="H5" s="13"/>
      <c r="I5" s="13"/>
      <c r="J5" s="13"/>
      <c r="K5" s="14"/>
    </row>
    <row r="6" spans="1:11" ht="14.25" x14ac:dyDescent="0.2">
      <c r="A6" s="14"/>
      <c r="B6" s="55" t="str">
        <f>CONCATENATE("______________________ ", IF(Source!AL12&lt;&gt;"", Source!AL12, ""))</f>
        <v xml:space="preserve">______________________ </v>
      </c>
      <c r="C6" s="55"/>
      <c r="D6" s="55"/>
      <c r="E6" s="55"/>
      <c r="F6" s="10"/>
      <c r="G6" s="55" t="str">
        <f>CONCATENATE("______________________ ", IF(Source!AH12&lt;&gt;"", Source!AH12, ""))</f>
        <v xml:space="preserve">______________________ </v>
      </c>
      <c r="H6" s="55"/>
      <c r="I6" s="55"/>
      <c r="J6" s="55"/>
      <c r="K6" s="55"/>
    </row>
    <row r="7" spans="1:11" ht="14.25" x14ac:dyDescent="0.2">
      <c r="A7" s="15"/>
      <c r="B7" s="56" t="s">
        <v>240</v>
      </c>
      <c r="C7" s="56"/>
      <c r="D7" s="56"/>
      <c r="E7" s="56"/>
      <c r="F7" s="10"/>
      <c r="G7" s="56" t="s">
        <v>240</v>
      </c>
      <c r="H7" s="56"/>
      <c r="I7" s="56"/>
      <c r="J7" s="56"/>
      <c r="K7" s="56"/>
    </row>
    <row r="9" spans="1:11" ht="14.2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5.75" x14ac:dyDescent="0.25">
      <c r="A10" s="58" t="str">
        <f>CONCATENATE( "ЛОКАЛЬНАЯ СМЕТА № ",IF(Source!F12&lt;&gt;"Новый объект", Source!F12, ""))</f>
        <v>ЛОКАЛЬНАЯ СМЕТА № Новый объект_(Копия)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51" t="s">
        <v>241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ht="14.2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hidden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4.25" hidden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x14ac:dyDescent="0.25">
      <c r="A15" s="50" t="str">
        <f>IF(Source!G12&lt;&gt;"Новый объект", Source!G12, "")</f>
        <v>Текущий ремонт в ГБОУ Школа №1297 по адресу: Глинистый пер., 7 с 1,2._(Копия)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1" t="s">
        <v>242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14.2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25" x14ac:dyDescent="0.2">
      <c r="A18" s="60" t="str">
        <f>CONCATENATE( "Основание: чертежи № ", Source!J12)</f>
        <v xml:space="preserve">Основание: чертежи № 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14.2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25" x14ac:dyDescent="0.2">
      <c r="A20" s="10"/>
      <c r="B20" s="10"/>
      <c r="C20" s="10"/>
      <c r="D20" s="10"/>
      <c r="E20" s="10"/>
      <c r="F20" s="55" t="s">
        <v>243</v>
      </c>
      <c r="G20" s="55"/>
      <c r="H20" s="55"/>
      <c r="I20" s="61">
        <f>(Source!F130/1000)</f>
        <v>258.71295000000003</v>
      </c>
      <c r="J20" s="57"/>
      <c r="K20" s="10" t="s">
        <v>244</v>
      </c>
    </row>
    <row r="21" spans="1:11" ht="14.25" hidden="1" x14ac:dyDescent="0.2">
      <c r="A21" s="10"/>
      <c r="B21" s="10"/>
      <c r="C21" s="10"/>
      <c r="D21" s="10"/>
      <c r="E21" s="10"/>
      <c r="F21" s="55" t="s">
        <v>245</v>
      </c>
      <c r="G21" s="55"/>
      <c r="H21" s="55"/>
      <c r="I21" s="61">
        <f>(Source!F117)/1000</f>
        <v>0</v>
      </c>
      <c r="J21" s="57"/>
      <c r="K21" s="10" t="s">
        <v>244</v>
      </c>
    </row>
    <row r="22" spans="1:11" ht="14.25" hidden="1" x14ac:dyDescent="0.2">
      <c r="A22" s="10"/>
      <c r="B22" s="10"/>
      <c r="C22" s="10"/>
      <c r="D22" s="10"/>
      <c r="E22" s="10"/>
      <c r="F22" s="55" t="s">
        <v>246</v>
      </c>
      <c r="G22" s="55"/>
      <c r="H22" s="55"/>
      <c r="I22" s="61">
        <f>(Source!F118)/1000</f>
        <v>0</v>
      </c>
      <c r="J22" s="57"/>
      <c r="K22" s="10" t="s">
        <v>244</v>
      </c>
    </row>
    <row r="23" spans="1:11" ht="14.25" hidden="1" x14ac:dyDescent="0.2">
      <c r="A23" s="10"/>
      <c r="B23" s="10"/>
      <c r="C23" s="10"/>
      <c r="D23" s="10"/>
      <c r="E23" s="10"/>
      <c r="F23" s="55" t="s">
        <v>247</v>
      </c>
      <c r="G23" s="55"/>
      <c r="H23" s="55"/>
      <c r="I23" s="61">
        <f>(Source!F109)/1000</f>
        <v>0</v>
      </c>
      <c r="J23" s="57"/>
      <c r="K23" s="10" t="s">
        <v>244</v>
      </c>
    </row>
    <row r="24" spans="1:11" ht="14.25" hidden="1" x14ac:dyDescent="0.2">
      <c r="A24" s="10"/>
      <c r="B24" s="10"/>
      <c r="C24" s="10"/>
      <c r="D24" s="10"/>
      <c r="E24" s="10"/>
      <c r="F24" s="55" t="s">
        <v>248</v>
      </c>
      <c r="G24" s="55"/>
      <c r="H24" s="55"/>
      <c r="I24" s="61">
        <f>(Source!F119+Source!F120)/1000</f>
        <v>219.24826000000002</v>
      </c>
      <c r="J24" s="57"/>
      <c r="K24" s="10" t="s">
        <v>244</v>
      </c>
    </row>
    <row r="25" spans="1:11" ht="14.25" x14ac:dyDescent="0.2">
      <c r="A25" s="10"/>
      <c r="B25" s="10"/>
      <c r="C25" s="10"/>
      <c r="D25" s="10"/>
      <c r="E25" s="10"/>
      <c r="F25" s="55" t="s">
        <v>249</v>
      </c>
      <c r="G25" s="55"/>
      <c r="H25" s="55"/>
      <c r="I25" s="61">
        <f>(Source!F115+ Source!F114)/1000</f>
        <v>61.929289999999995</v>
      </c>
      <c r="J25" s="57"/>
      <c r="K25" s="10" t="s">
        <v>244</v>
      </c>
    </row>
    <row r="26" spans="1:11" ht="14.25" x14ac:dyDescent="0.2">
      <c r="A26" s="10" t="s">
        <v>263</v>
      </c>
      <c r="B26" s="10"/>
      <c r="C26" s="10"/>
      <c r="D26" s="16"/>
      <c r="E26" s="17"/>
      <c r="F26" s="10"/>
      <c r="G26" s="10"/>
      <c r="H26" s="10"/>
      <c r="I26" s="10"/>
      <c r="J26" s="10"/>
      <c r="K26" s="10"/>
    </row>
    <row r="27" spans="1:11" ht="14.25" x14ac:dyDescent="0.2">
      <c r="A27" s="62" t="s">
        <v>250</v>
      </c>
      <c r="B27" s="62" t="s">
        <v>251</v>
      </c>
      <c r="C27" s="62" t="s">
        <v>252</v>
      </c>
      <c r="D27" s="62" t="s">
        <v>253</v>
      </c>
      <c r="E27" s="62" t="s">
        <v>254</v>
      </c>
      <c r="F27" s="62" t="s">
        <v>255</v>
      </c>
      <c r="G27" s="62" t="s">
        <v>256</v>
      </c>
      <c r="H27" s="62" t="s">
        <v>257</v>
      </c>
      <c r="I27" s="62" t="s">
        <v>258</v>
      </c>
      <c r="J27" s="62" t="s">
        <v>259</v>
      </c>
      <c r="K27" s="18" t="s">
        <v>260</v>
      </c>
    </row>
    <row r="28" spans="1:11" ht="28.5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19" t="s">
        <v>261</v>
      </c>
    </row>
    <row r="29" spans="1:11" ht="28.5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19" t="s">
        <v>262</v>
      </c>
    </row>
    <row r="30" spans="1:11" ht="14.25" x14ac:dyDescent="0.2">
      <c r="A30" s="19">
        <v>1</v>
      </c>
      <c r="B30" s="19">
        <v>2</v>
      </c>
      <c r="C30" s="19">
        <v>3</v>
      </c>
      <c r="D30" s="19">
        <v>4</v>
      </c>
      <c r="E30" s="19">
        <v>5</v>
      </c>
      <c r="F30" s="19">
        <v>6</v>
      </c>
      <c r="G30" s="19">
        <v>7</v>
      </c>
      <c r="H30" s="19">
        <v>8</v>
      </c>
      <c r="I30" s="19">
        <v>9</v>
      </c>
      <c r="J30" s="19">
        <v>10</v>
      </c>
      <c r="K30" s="19">
        <v>11</v>
      </c>
    </row>
    <row r="32" spans="1:11" ht="16.5" x14ac:dyDescent="0.25">
      <c r="A32" s="65" t="str">
        <f>CONCATENATE("Локальная смета: ",IF(Source!G20&lt;&gt;"Новая локальная смета", Source!G20, ""))</f>
        <v xml:space="preserve">Локальная смета: 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4" spans="1:22" ht="16.5" x14ac:dyDescent="0.25">
      <c r="A34" s="65" t="str">
        <f>CONCATENATE("Раздел: ",IF(Source!G24&lt;&gt;"Новый раздел", Source!G24, ""))</f>
        <v>Раздел: Спортзал.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22" ht="99.75" x14ac:dyDescent="0.2">
      <c r="A35" s="20" t="str">
        <f>Source!E28</f>
        <v>1</v>
      </c>
      <c r="B35" s="21" t="str">
        <f>Source!F28</f>
        <v>1.13-3201-16-5/1</v>
      </c>
      <c r="C35" s="21" t="str">
        <f>Source!G28</f>
        <v>Окрашивание ранее окрашенных поверхностей стен водоэмульсионными поливинилацетатными составами, ранее окрашенных водоэмульсионной краской с расчисткой старой краски до 35%</v>
      </c>
      <c r="D35" s="22" t="str">
        <f>Source!H28</f>
        <v>100 м2</v>
      </c>
      <c r="E35" s="9">
        <f>Source!I28</f>
        <v>2.2999999999999998</v>
      </c>
      <c r="F35" s="24"/>
      <c r="G35" s="23"/>
      <c r="H35" s="9"/>
      <c r="I35" s="9"/>
      <c r="J35" s="25"/>
      <c r="K35" s="25"/>
      <c r="Q35">
        <f>ROUND((Source!BZ28/100)*ROUND((Source!AF28*Source!AV28)*Source!I28, 2), 2)</f>
        <v>8349.4500000000007</v>
      </c>
      <c r="R35">
        <f>Source!X28</f>
        <v>8349.4500000000007</v>
      </c>
      <c r="S35">
        <f>ROUND((Source!CA28/100)*ROUND((Source!AF28*Source!AV28)*Source!I28, 2), 2)</f>
        <v>1192.78</v>
      </c>
      <c r="T35">
        <f>Source!Y28</f>
        <v>1192.78</v>
      </c>
      <c r="U35">
        <f>ROUND((175/100)*ROUND((Source!AE28*Source!AV28)*Source!I28, 2), 2)</f>
        <v>0</v>
      </c>
      <c r="V35">
        <f>ROUND((108/100)*ROUND(Source!CS28*Source!I28, 2), 2)</f>
        <v>0</v>
      </c>
    </row>
    <row r="36" spans="1:22" x14ac:dyDescent="0.2">
      <c r="C36" s="26" t="str">
        <f>"Объем: "&amp;Source!I28&amp;"=230/"&amp;"100"</f>
        <v>Объем: 2,3=230/100</v>
      </c>
    </row>
    <row r="37" spans="1:22" ht="14.25" x14ac:dyDescent="0.2">
      <c r="A37" s="20"/>
      <c r="B37" s="21"/>
      <c r="C37" s="21" t="s">
        <v>264</v>
      </c>
      <c r="D37" s="22"/>
      <c r="E37" s="9"/>
      <c r="F37" s="24">
        <f>Source!AO28</f>
        <v>4714.54</v>
      </c>
      <c r="G37" s="23" t="str">
        <f>Source!DG28</f>
        <v>)*1,1</v>
      </c>
      <c r="H37" s="9">
        <f>Source!AV28</f>
        <v>1</v>
      </c>
      <c r="I37" s="9">
        <f>IF(Source!BA28&lt;&gt; 0, Source!BA28, 1)</f>
        <v>1</v>
      </c>
      <c r="J37" s="25">
        <f>Source!S28</f>
        <v>11927.79</v>
      </c>
      <c r="K37" s="25"/>
    </row>
    <row r="38" spans="1:22" ht="14.25" x14ac:dyDescent="0.2">
      <c r="A38" s="20"/>
      <c r="B38" s="21"/>
      <c r="C38" s="21" t="s">
        <v>265</v>
      </c>
      <c r="D38" s="22"/>
      <c r="E38" s="9"/>
      <c r="F38" s="24">
        <f>Source!AL28</f>
        <v>4941.79</v>
      </c>
      <c r="G38" s="23" t="str">
        <f>Source!DD28</f>
        <v/>
      </c>
      <c r="H38" s="9">
        <f>Source!AW28</f>
        <v>1</v>
      </c>
      <c r="I38" s="9">
        <f>IF(Source!BC28&lt;&gt; 0, Source!BC28, 1)</f>
        <v>1</v>
      </c>
      <c r="J38" s="25">
        <f>Source!P28</f>
        <v>11366.12</v>
      </c>
      <c r="K38" s="25"/>
    </row>
    <row r="39" spans="1:22" ht="14.25" x14ac:dyDescent="0.2">
      <c r="A39" s="20"/>
      <c r="B39" s="21"/>
      <c r="C39" s="21" t="s">
        <v>266</v>
      </c>
      <c r="D39" s="22" t="s">
        <v>267</v>
      </c>
      <c r="E39" s="9">
        <f>Source!AT28</f>
        <v>70</v>
      </c>
      <c r="F39" s="24"/>
      <c r="G39" s="23"/>
      <c r="H39" s="9"/>
      <c r="I39" s="9"/>
      <c r="J39" s="25">
        <f>SUM(R35:R38)</f>
        <v>8349.4500000000007</v>
      </c>
      <c r="K39" s="25"/>
    </row>
    <row r="40" spans="1:22" ht="14.25" x14ac:dyDescent="0.2">
      <c r="A40" s="20"/>
      <c r="B40" s="21"/>
      <c r="C40" s="21" t="s">
        <v>268</v>
      </c>
      <c r="D40" s="22" t="s">
        <v>267</v>
      </c>
      <c r="E40" s="9">
        <f>Source!AU28</f>
        <v>10</v>
      </c>
      <c r="F40" s="24"/>
      <c r="G40" s="23"/>
      <c r="H40" s="9"/>
      <c r="I40" s="9"/>
      <c r="J40" s="25">
        <f>SUM(T35:T39)</f>
        <v>1192.78</v>
      </c>
      <c r="K40" s="25"/>
    </row>
    <row r="41" spans="1:22" ht="14.25" x14ac:dyDescent="0.2">
      <c r="A41" s="20"/>
      <c r="B41" s="21"/>
      <c r="C41" s="21" t="s">
        <v>269</v>
      </c>
      <c r="D41" s="22" t="s">
        <v>270</v>
      </c>
      <c r="E41" s="9">
        <f>Source!AQ28</f>
        <v>26.3</v>
      </c>
      <c r="F41" s="24"/>
      <c r="G41" s="23" t="str">
        <f>Source!DI28</f>
        <v/>
      </c>
      <c r="H41" s="9">
        <f>Source!AV28</f>
        <v>1</v>
      </c>
      <c r="I41" s="9"/>
      <c r="J41" s="25"/>
      <c r="K41" s="25">
        <f>Source!U28</f>
        <v>60.489999999999995</v>
      </c>
    </row>
    <row r="42" spans="1:22" ht="15" x14ac:dyDescent="0.25">
      <c r="A42" s="29"/>
      <c r="B42" s="29"/>
      <c r="C42" s="29"/>
      <c r="D42" s="29"/>
      <c r="E42" s="29"/>
      <c r="F42" s="29"/>
      <c r="G42" s="29"/>
      <c r="H42" s="29"/>
      <c r="I42" s="64">
        <f>J37+J38+J39+J40</f>
        <v>32836.140000000007</v>
      </c>
      <c r="J42" s="64"/>
      <c r="K42" s="30">
        <f>IF(Source!I28&lt;&gt;0, ROUND(I42/Source!I28, 2), 0)</f>
        <v>14276.58</v>
      </c>
      <c r="P42" s="27">
        <f>I42</f>
        <v>32836.140000000007</v>
      </c>
    </row>
    <row r="43" spans="1:22" ht="57" x14ac:dyDescent="0.2">
      <c r="A43" s="20" t="str">
        <f>Source!E29</f>
        <v>2</v>
      </c>
      <c r="B43" s="21" t="str">
        <f>Source!F29</f>
        <v>1.13-3201-19-4/1</v>
      </c>
      <c r="C43" s="21" t="str">
        <f>Source!G29</f>
        <v>Окраска масляными составами за два раза ранее окрашенных металлических поверхностей радиаторов и ребристых труб</v>
      </c>
      <c r="D43" s="22" t="str">
        <f>Source!H29</f>
        <v>100 м2</v>
      </c>
      <c r="E43" s="9">
        <f>Source!I29</f>
        <v>4.2099999999999999E-2</v>
      </c>
      <c r="F43" s="24"/>
      <c r="G43" s="23"/>
      <c r="H43" s="9"/>
      <c r="I43" s="9"/>
      <c r="J43" s="25"/>
      <c r="K43" s="25"/>
      <c r="Q43">
        <f>ROUND((Source!BZ29/100)*ROUND((Source!AF29*Source!AV29)*Source!I29, 2), 2)</f>
        <v>342.08</v>
      </c>
      <c r="R43">
        <f>Source!X29</f>
        <v>342.08</v>
      </c>
      <c r="S43">
        <f>ROUND((Source!CA29/100)*ROUND((Source!AF29*Source!AV29)*Source!I29, 2), 2)</f>
        <v>48.87</v>
      </c>
      <c r="T43">
        <f>Source!Y29</f>
        <v>48.87</v>
      </c>
      <c r="U43">
        <f>ROUND((175/100)*ROUND((Source!AE29*Source!AV29)*Source!I29, 2), 2)</f>
        <v>0</v>
      </c>
      <c r="V43">
        <f>ROUND((108/100)*ROUND(Source!CS29*Source!I29, 2), 2)</f>
        <v>0</v>
      </c>
    </row>
    <row r="44" spans="1:22" x14ac:dyDescent="0.2">
      <c r="C44" s="26" t="str">
        <f>"Объем: "&amp;Source!I29&amp;"=4,21/"&amp;"100"</f>
        <v>Объем: 0,0421=4,21/100</v>
      </c>
    </row>
    <row r="45" spans="1:22" ht="14.25" x14ac:dyDescent="0.2">
      <c r="A45" s="20"/>
      <c r="B45" s="21"/>
      <c r="C45" s="21" t="s">
        <v>264</v>
      </c>
      <c r="D45" s="22"/>
      <c r="E45" s="9"/>
      <c r="F45" s="24">
        <f>Source!AO29</f>
        <v>11607.91</v>
      </c>
      <c r="G45" s="23" t="str">
        <f>Source!DG29</f>
        <v/>
      </c>
      <c r="H45" s="9">
        <f>Source!AV29</f>
        <v>1</v>
      </c>
      <c r="I45" s="9">
        <f>IF(Source!BA29&lt;&gt; 0, Source!BA29, 1)</f>
        <v>1</v>
      </c>
      <c r="J45" s="25">
        <f>Source!S29</f>
        <v>488.69</v>
      </c>
      <c r="K45" s="25"/>
    </row>
    <row r="46" spans="1:22" ht="14.25" x14ac:dyDescent="0.2">
      <c r="A46" s="20"/>
      <c r="B46" s="21"/>
      <c r="C46" s="21" t="s">
        <v>265</v>
      </c>
      <c r="D46" s="22"/>
      <c r="E46" s="9"/>
      <c r="F46" s="24">
        <f>Source!AL29</f>
        <v>1596.58</v>
      </c>
      <c r="G46" s="23" t="str">
        <f>Source!DD29</f>
        <v/>
      </c>
      <c r="H46" s="9">
        <f>Source!AW29</f>
        <v>1</v>
      </c>
      <c r="I46" s="9">
        <f>IF(Source!BC29&lt;&gt; 0, Source!BC29, 1)</f>
        <v>1</v>
      </c>
      <c r="J46" s="25">
        <f>Source!P29</f>
        <v>67.22</v>
      </c>
      <c r="K46" s="25"/>
    </row>
    <row r="47" spans="1:22" ht="14.25" x14ac:dyDescent="0.2">
      <c r="A47" s="20"/>
      <c r="B47" s="21"/>
      <c r="C47" s="21" t="s">
        <v>266</v>
      </c>
      <c r="D47" s="22" t="s">
        <v>267</v>
      </c>
      <c r="E47" s="9">
        <f>Source!AT29</f>
        <v>70</v>
      </c>
      <c r="F47" s="24"/>
      <c r="G47" s="23"/>
      <c r="H47" s="9"/>
      <c r="I47" s="9"/>
      <c r="J47" s="25">
        <f>SUM(R43:R46)</f>
        <v>342.08</v>
      </c>
      <c r="K47" s="25"/>
    </row>
    <row r="48" spans="1:22" ht="14.25" x14ac:dyDescent="0.2">
      <c r="A48" s="20"/>
      <c r="B48" s="21"/>
      <c r="C48" s="21" t="s">
        <v>268</v>
      </c>
      <c r="D48" s="22" t="s">
        <v>267</v>
      </c>
      <c r="E48" s="9">
        <f>Source!AU29</f>
        <v>10</v>
      </c>
      <c r="F48" s="24"/>
      <c r="G48" s="23"/>
      <c r="H48" s="9"/>
      <c r="I48" s="9"/>
      <c r="J48" s="25">
        <f>SUM(T43:T47)</f>
        <v>48.87</v>
      </c>
      <c r="K48" s="25"/>
    </row>
    <row r="49" spans="1:22" ht="14.25" x14ac:dyDescent="0.2">
      <c r="A49" s="20"/>
      <c r="B49" s="21"/>
      <c r="C49" s="21" t="s">
        <v>269</v>
      </c>
      <c r="D49" s="22" t="s">
        <v>270</v>
      </c>
      <c r="E49" s="9">
        <f>Source!AQ29</f>
        <v>63.4</v>
      </c>
      <c r="F49" s="24"/>
      <c r="G49" s="23" t="str">
        <f>Source!DI29</f>
        <v/>
      </c>
      <c r="H49" s="9">
        <f>Source!AV29</f>
        <v>1</v>
      </c>
      <c r="I49" s="9"/>
      <c r="J49" s="25"/>
      <c r="K49" s="25">
        <f>Source!U29</f>
        <v>2.6691400000000001</v>
      </c>
    </row>
    <row r="50" spans="1:22" ht="15" x14ac:dyDescent="0.25">
      <c r="A50" s="29"/>
      <c r="B50" s="29"/>
      <c r="C50" s="29"/>
      <c r="D50" s="29"/>
      <c r="E50" s="29"/>
      <c r="F50" s="29"/>
      <c r="G50" s="29"/>
      <c r="H50" s="29"/>
      <c r="I50" s="64">
        <f>J45+J46+J47+J48</f>
        <v>946.86</v>
      </c>
      <c r="J50" s="64"/>
      <c r="K50" s="30">
        <f>IF(Source!I29&lt;&gt;0, ROUND(I50/Source!I29, 2), 0)</f>
        <v>22490.74</v>
      </c>
      <c r="P50" s="27">
        <f>I50</f>
        <v>946.86</v>
      </c>
    </row>
    <row r="51" spans="1:22" ht="42.75" x14ac:dyDescent="0.2">
      <c r="A51" s="20" t="str">
        <f>Source!E30</f>
        <v>3</v>
      </c>
      <c r="B51" s="21" t="str">
        <f>Source!F30</f>
        <v>1.13-3201-19-2/1</v>
      </c>
      <c r="C51" s="21" t="str">
        <f>Source!G30</f>
        <v>Окраска масляными составами за два раза ранее окрашенных металлических поверхностей стальных труб</v>
      </c>
      <c r="D51" s="22" t="str">
        <f>Source!H30</f>
        <v>100 м2</v>
      </c>
      <c r="E51" s="9">
        <f>Source!I30</f>
        <v>0.12479999999999999</v>
      </c>
      <c r="F51" s="24"/>
      <c r="G51" s="23"/>
      <c r="H51" s="9"/>
      <c r="I51" s="9"/>
      <c r="J51" s="25"/>
      <c r="K51" s="25"/>
      <c r="Q51">
        <f>ROUND((Source!BZ30/100)*ROUND((Source!AF30*Source!AV30)*Source!I30, 2), 2)</f>
        <v>1185.21</v>
      </c>
      <c r="R51">
        <f>Source!X30</f>
        <v>1185.21</v>
      </c>
      <c r="S51">
        <f>ROUND((Source!CA30/100)*ROUND((Source!AF30*Source!AV30)*Source!I30, 2), 2)</f>
        <v>169.32</v>
      </c>
      <c r="T51">
        <f>Source!Y30</f>
        <v>169.32</v>
      </c>
      <c r="U51">
        <f>ROUND((175/100)*ROUND((Source!AE30*Source!AV30)*Source!I30, 2), 2)</f>
        <v>0</v>
      </c>
      <c r="V51">
        <f>ROUND((108/100)*ROUND(Source!CS30*Source!I30, 2), 2)</f>
        <v>0</v>
      </c>
    </row>
    <row r="52" spans="1:22" x14ac:dyDescent="0.2">
      <c r="C52" s="26" t="str">
        <f>"Объем: "&amp;Source!I30&amp;"=12,48/"&amp;"100"</f>
        <v>Объем: 0,1248=12,48/100</v>
      </c>
    </row>
    <row r="53" spans="1:22" ht="14.25" x14ac:dyDescent="0.2">
      <c r="A53" s="20"/>
      <c r="B53" s="21"/>
      <c r="C53" s="21" t="s">
        <v>264</v>
      </c>
      <c r="D53" s="22"/>
      <c r="E53" s="9"/>
      <c r="F53" s="24">
        <f>Source!AO30</f>
        <v>13566.97</v>
      </c>
      <c r="G53" s="23" t="str">
        <f>Source!DG30</f>
        <v/>
      </c>
      <c r="H53" s="9">
        <f>Source!AV30</f>
        <v>1</v>
      </c>
      <c r="I53" s="9">
        <f>IF(Source!BA30&lt;&gt; 0, Source!BA30, 1)</f>
        <v>1</v>
      </c>
      <c r="J53" s="25">
        <f>Source!S30</f>
        <v>1693.16</v>
      </c>
      <c r="K53" s="25"/>
    </row>
    <row r="54" spans="1:22" ht="14.25" x14ac:dyDescent="0.2">
      <c r="A54" s="20"/>
      <c r="B54" s="21"/>
      <c r="C54" s="21" t="s">
        <v>265</v>
      </c>
      <c r="D54" s="22"/>
      <c r="E54" s="9"/>
      <c r="F54" s="24">
        <f>Source!AL30</f>
        <v>1616.88</v>
      </c>
      <c r="G54" s="23" t="str">
        <f>Source!DD30</f>
        <v/>
      </c>
      <c r="H54" s="9">
        <f>Source!AW30</f>
        <v>1</v>
      </c>
      <c r="I54" s="9">
        <f>IF(Source!BC30&lt;&gt; 0, Source!BC30, 1)</f>
        <v>1</v>
      </c>
      <c r="J54" s="25">
        <f>Source!P30</f>
        <v>201.79</v>
      </c>
      <c r="K54" s="25"/>
    </row>
    <row r="55" spans="1:22" ht="14.25" x14ac:dyDescent="0.2">
      <c r="A55" s="20"/>
      <c r="B55" s="21"/>
      <c r="C55" s="21" t="s">
        <v>266</v>
      </c>
      <c r="D55" s="22" t="s">
        <v>267</v>
      </c>
      <c r="E55" s="9">
        <f>Source!AT30</f>
        <v>70</v>
      </c>
      <c r="F55" s="24"/>
      <c r="G55" s="23"/>
      <c r="H55" s="9"/>
      <c r="I55" s="9"/>
      <c r="J55" s="25">
        <f>SUM(R51:R54)</f>
        <v>1185.21</v>
      </c>
      <c r="K55" s="25"/>
    </row>
    <row r="56" spans="1:22" ht="14.25" x14ac:dyDescent="0.2">
      <c r="A56" s="20"/>
      <c r="B56" s="21"/>
      <c r="C56" s="21" t="s">
        <v>268</v>
      </c>
      <c r="D56" s="22" t="s">
        <v>267</v>
      </c>
      <c r="E56" s="9">
        <f>Source!AU30</f>
        <v>10</v>
      </c>
      <c r="F56" s="24"/>
      <c r="G56" s="23"/>
      <c r="H56" s="9"/>
      <c r="I56" s="9"/>
      <c r="J56" s="25">
        <f>SUM(T51:T55)</f>
        <v>169.32</v>
      </c>
      <c r="K56" s="25"/>
    </row>
    <row r="57" spans="1:22" ht="14.25" x14ac:dyDescent="0.2">
      <c r="A57" s="20"/>
      <c r="B57" s="21"/>
      <c r="C57" s="21" t="s">
        <v>269</v>
      </c>
      <c r="D57" s="22" t="s">
        <v>270</v>
      </c>
      <c r="E57" s="9">
        <f>Source!AQ30</f>
        <v>74.099999999999994</v>
      </c>
      <c r="F57" s="24"/>
      <c r="G57" s="23" t="str">
        <f>Source!DI30</f>
        <v/>
      </c>
      <c r="H57" s="9">
        <f>Source!AV30</f>
        <v>1</v>
      </c>
      <c r="I57" s="9"/>
      <c r="J57" s="25"/>
      <c r="K57" s="25">
        <f>Source!U30</f>
        <v>9.247679999999999</v>
      </c>
    </row>
    <row r="58" spans="1:22" ht="15" x14ac:dyDescent="0.25">
      <c r="A58" s="29"/>
      <c r="B58" s="29"/>
      <c r="C58" s="29"/>
      <c r="D58" s="29"/>
      <c r="E58" s="29"/>
      <c r="F58" s="29"/>
      <c r="G58" s="29"/>
      <c r="H58" s="29"/>
      <c r="I58" s="64">
        <f>J53+J54+J55+J56</f>
        <v>3249.48</v>
      </c>
      <c r="J58" s="64"/>
      <c r="K58" s="30">
        <f>IF(Source!I30&lt;&gt;0, ROUND(I58/Source!I30, 2), 0)</f>
        <v>26037.5</v>
      </c>
      <c r="P58" s="27">
        <f>I58</f>
        <v>3249.48</v>
      </c>
    </row>
    <row r="59" spans="1:22" ht="85.5" x14ac:dyDescent="0.2">
      <c r="A59" s="20" t="str">
        <f>Source!E31</f>
        <v>4</v>
      </c>
      <c r="B59" s="21" t="str">
        <f>Source!F31</f>
        <v>1.13-5302-4-4/2</v>
      </c>
      <c r="C59" s="21" t="str">
        <f>Source!G31</f>
        <v>Улучшенная масляная окраска деревянных поверхностей дверей и профилированных облицовок с частичной предварительной расчисткой до 10% (краски масляные жидкотертые цветные марка МА-15)</v>
      </c>
      <c r="D59" s="22" t="str">
        <f>Source!H31</f>
        <v>10 м2</v>
      </c>
      <c r="E59" s="9">
        <f>Source!I31</f>
        <v>0.88</v>
      </c>
      <c r="F59" s="24"/>
      <c r="G59" s="23"/>
      <c r="H59" s="9"/>
      <c r="I59" s="9"/>
      <c r="J59" s="25"/>
      <c r="K59" s="25"/>
      <c r="Q59">
        <f>ROUND((Source!BZ31/100)*ROUND((Source!AF31*Source!AV31)*Source!I31, 2), 2)</f>
        <v>912.71</v>
      </c>
      <c r="R59">
        <f>Source!X31</f>
        <v>912.71</v>
      </c>
      <c r="S59">
        <f>ROUND((Source!CA31/100)*ROUND((Source!AF31*Source!AV31)*Source!I31, 2), 2)</f>
        <v>130.38999999999999</v>
      </c>
      <c r="T59">
        <f>Source!Y31</f>
        <v>130.38999999999999</v>
      </c>
      <c r="U59">
        <f>ROUND((175/100)*ROUND((Source!AE31*Source!AV31)*Source!I31, 2), 2)</f>
        <v>0</v>
      </c>
      <c r="V59">
        <f>ROUND((108/100)*ROUND(Source!CS31*Source!I31, 2), 2)</f>
        <v>0</v>
      </c>
    </row>
    <row r="60" spans="1:22" x14ac:dyDescent="0.2">
      <c r="C60" s="26" t="str">
        <f>"Объем: "&amp;Source!I31&amp;"=8,8/"&amp;"10"</f>
        <v>Объем: 0,88=8,8/10</v>
      </c>
    </row>
    <row r="61" spans="1:22" ht="14.25" x14ac:dyDescent="0.2">
      <c r="A61" s="20"/>
      <c r="B61" s="21"/>
      <c r="C61" s="21" t="s">
        <v>264</v>
      </c>
      <c r="D61" s="22"/>
      <c r="E61" s="9"/>
      <c r="F61" s="24">
        <f>Source!AO31</f>
        <v>1481.67</v>
      </c>
      <c r="G61" s="23" t="str">
        <f>Source!DG31</f>
        <v/>
      </c>
      <c r="H61" s="9">
        <f>Source!AV31</f>
        <v>1</v>
      </c>
      <c r="I61" s="9">
        <f>IF(Source!BA31&lt;&gt; 0, Source!BA31, 1)</f>
        <v>1</v>
      </c>
      <c r="J61" s="25">
        <f>Source!S31</f>
        <v>1303.8699999999999</v>
      </c>
      <c r="K61" s="25"/>
    </row>
    <row r="62" spans="1:22" ht="14.25" x14ac:dyDescent="0.2">
      <c r="A62" s="20"/>
      <c r="B62" s="21"/>
      <c r="C62" s="21" t="s">
        <v>265</v>
      </c>
      <c r="D62" s="22"/>
      <c r="E62" s="9"/>
      <c r="F62" s="24">
        <f>Source!AL31</f>
        <v>142.82</v>
      </c>
      <c r="G62" s="23" t="str">
        <f>Source!DD31</f>
        <v/>
      </c>
      <c r="H62" s="9">
        <f>Source!AW31</f>
        <v>1</v>
      </c>
      <c r="I62" s="9">
        <f>IF(Source!BC31&lt;&gt; 0, Source!BC31, 1)</f>
        <v>1</v>
      </c>
      <c r="J62" s="25">
        <f>Source!P31</f>
        <v>125.68</v>
      </c>
      <c r="K62" s="25"/>
    </row>
    <row r="63" spans="1:22" ht="14.25" x14ac:dyDescent="0.2">
      <c r="A63" s="20"/>
      <c r="B63" s="21"/>
      <c r="C63" s="21" t="s">
        <v>266</v>
      </c>
      <c r="D63" s="22" t="s">
        <v>267</v>
      </c>
      <c r="E63" s="9">
        <f>Source!AT31</f>
        <v>70</v>
      </c>
      <c r="F63" s="24"/>
      <c r="G63" s="23"/>
      <c r="H63" s="9"/>
      <c r="I63" s="9"/>
      <c r="J63" s="25">
        <f>SUM(R59:R62)</f>
        <v>912.71</v>
      </c>
      <c r="K63" s="25"/>
    </row>
    <row r="64" spans="1:22" ht="14.25" x14ac:dyDescent="0.2">
      <c r="A64" s="20"/>
      <c r="B64" s="21"/>
      <c r="C64" s="21" t="s">
        <v>268</v>
      </c>
      <c r="D64" s="22" t="s">
        <v>267</v>
      </c>
      <c r="E64" s="9">
        <f>Source!AU31</f>
        <v>10</v>
      </c>
      <c r="F64" s="24"/>
      <c r="G64" s="23"/>
      <c r="H64" s="9"/>
      <c r="I64" s="9"/>
      <c r="J64" s="25">
        <f>SUM(T59:T63)</f>
        <v>130.38999999999999</v>
      </c>
      <c r="K64" s="25"/>
    </row>
    <row r="65" spans="1:22" ht="14.25" x14ac:dyDescent="0.2">
      <c r="A65" s="20"/>
      <c r="B65" s="21"/>
      <c r="C65" s="21" t="s">
        <v>269</v>
      </c>
      <c r="D65" s="22" t="s">
        <v>270</v>
      </c>
      <c r="E65" s="9">
        <f>Source!AQ31</f>
        <v>5.8</v>
      </c>
      <c r="F65" s="24"/>
      <c r="G65" s="23" t="str">
        <f>Source!DI31</f>
        <v/>
      </c>
      <c r="H65" s="9">
        <f>Source!AV31</f>
        <v>1</v>
      </c>
      <c r="I65" s="9"/>
      <c r="J65" s="25"/>
      <c r="K65" s="25">
        <f>Source!U31</f>
        <v>5.1040000000000001</v>
      </c>
    </row>
    <row r="66" spans="1:22" ht="15" x14ac:dyDescent="0.25">
      <c r="A66" s="29"/>
      <c r="B66" s="29"/>
      <c r="C66" s="29"/>
      <c r="D66" s="29"/>
      <c r="E66" s="29"/>
      <c r="F66" s="29"/>
      <c r="G66" s="29"/>
      <c r="H66" s="29"/>
      <c r="I66" s="64">
        <f>J61+J62+J63+J64</f>
        <v>2472.65</v>
      </c>
      <c r="J66" s="64"/>
      <c r="K66" s="30">
        <f>IF(Source!I31&lt;&gt;0, ROUND(I66/Source!I31, 2), 0)</f>
        <v>2809.83</v>
      </c>
      <c r="P66" s="27">
        <f>I66</f>
        <v>2472.65</v>
      </c>
    </row>
    <row r="67" spans="1:22" ht="42.75" x14ac:dyDescent="0.2">
      <c r="A67" s="20" t="str">
        <f>Source!E32</f>
        <v>5</v>
      </c>
      <c r="B67" s="21" t="str">
        <f>Source!F32</f>
        <v>1.50-3203-2-1/1</v>
      </c>
      <c r="C67" s="21" t="str">
        <f>Source!G32</f>
        <v>Изготовление декоративного деревянного экрана на регистры отопления</v>
      </c>
      <c r="D67" s="22" t="str">
        <f>Source!H32</f>
        <v>м2</v>
      </c>
      <c r="E67" s="9">
        <f>Source!I32</f>
        <v>27.8</v>
      </c>
      <c r="F67" s="88" t="s">
        <v>288</v>
      </c>
      <c r="G67" s="88"/>
      <c r="H67" s="9"/>
      <c r="I67" s="9"/>
      <c r="J67" s="25"/>
      <c r="K67" s="25"/>
      <c r="Q67">
        <f>ROUND((Source!BZ32/100)*ROUND((Source!AF32*Source!AV32)*Source!I32, 2), 2)</f>
        <v>2911.41</v>
      </c>
      <c r="R67">
        <f>Source!X32</f>
        <v>2911.41</v>
      </c>
      <c r="S67">
        <f>ROUND((Source!CA32/100)*ROUND((Source!AF32*Source!AV32)*Source!I32, 2), 2)</f>
        <v>415.92</v>
      </c>
      <c r="T67">
        <f>Source!Y32</f>
        <v>415.92</v>
      </c>
      <c r="U67">
        <f>ROUND((175/100)*ROUND((Source!AE32*Source!AV32)*Source!I32, 2), 2)</f>
        <v>767.22</v>
      </c>
      <c r="V67">
        <f>ROUND((108/100)*ROUND(Source!CS32*Source!I32, 2), 2)</f>
        <v>473.48</v>
      </c>
    </row>
    <row r="68" spans="1:22" ht="14.25" x14ac:dyDescent="0.2">
      <c r="A68" s="20"/>
      <c r="B68" s="21"/>
      <c r="C68" s="21" t="s">
        <v>264</v>
      </c>
      <c r="D68" s="22"/>
      <c r="E68" s="9"/>
      <c r="F68" s="24">
        <f>Source!AO32</f>
        <v>149.61000000000001</v>
      </c>
      <c r="G68" s="23" t="str">
        <f>Source!DG32</f>
        <v/>
      </c>
      <c r="H68" s="9">
        <f>Source!AV32</f>
        <v>1</v>
      </c>
      <c r="I68" s="9">
        <f>IF(Source!BA32&lt;&gt; 0, Source!BA32, 1)</f>
        <v>1</v>
      </c>
      <c r="J68" s="25">
        <f>Source!S32</f>
        <v>4159.16</v>
      </c>
      <c r="K68" s="25"/>
    </row>
    <row r="69" spans="1:22" ht="14.25" x14ac:dyDescent="0.2">
      <c r="A69" s="20"/>
      <c r="B69" s="21"/>
      <c r="C69" s="21" t="s">
        <v>271</v>
      </c>
      <c r="D69" s="22"/>
      <c r="E69" s="9"/>
      <c r="F69" s="24">
        <f>Source!AM32</f>
        <v>24.61</v>
      </c>
      <c r="G69" s="23" t="str">
        <f>Source!DE32</f>
        <v/>
      </c>
      <c r="H69" s="9">
        <f>Source!AV32</f>
        <v>1</v>
      </c>
      <c r="I69" s="9">
        <f>IF(Source!BB32&lt;&gt; 0, Source!BB32, 1)</f>
        <v>1</v>
      </c>
      <c r="J69" s="25">
        <f>Source!Q32</f>
        <v>684.16</v>
      </c>
      <c r="K69" s="25"/>
    </row>
    <row r="70" spans="1:22" ht="14.25" x14ac:dyDescent="0.2">
      <c r="A70" s="20"/>
      <c r="B70" s="21"/>
      <c r="C70" s="21" t="s">
        <v>272</v>
      </c>
      <c r="D70" s="22"/>
      <c r="E70" s="9"/>
      <c r="F70" s="24">
        <f>Source!AN32</f>
        <v>15.77</v>
      </c>
      <c r="G70" s="23" t="str">
        <f>Source!DF32</f>
        <v/>
      </c>
      <c r="H70" s="9">
        <f>Source!AV32</f>
        <v>1</v>
      </c>
      <c r="I70" s="9">
        <f>IF(Source!BS32&lt;&gt; 0, Source!BS32, 1)</f>
        <v>1</v>
      </c>
      <c r="J70" s="31">
        <f>Source!R32</f>
        <v>438.41</v>
      </c>
      <c r="K70" s="25"/>
    </row>
    <row r="71" spans="1:22" ht="14.25" x14ac:dyDescent="0.2">
      <c r="A71" s="20"/>
      <c r="B71" s="21"/>
      <c r="C71" s="21" t="s">
        <v>265</v>
      </c>
      <c r="D71" s="22"/>
      <c r="E71" s="9"/>
      <c r="F71" s="24">
        <f>Source!AL32</f>
        <v>170.59</v>
      </c>
      <c r="G71" s="23" t="str">
        <f>Source!DD32</f>
        <v/>
      </c>
      <c r="H71" s="9">
        <f>Source!AW32</f>
        <v>1</v>
      </c>
      <c r="I71" s="9">
        <f>IF(Source!BC32&lt;&gt; 0, Source!BC32, 1)</f>
        <v>1</v>
      </c>
      <c r="J71" s="25">
        <f>Source!P32</f>
        <v>4742.3999999999996</v>
      </c>
      <c r="K71" s="25"/>
    </row>
    <row r="72" spans="1:22" ht="14.25" x14ac:dyDescent="0.2">
      <c r="A72" s="20"/>
      <c r="B72" s="21"/>
      <c r="C72" s="21" t="s">
        <v>266</v>
      </c>
      <c r="D72" s="22" t="s">
        <v>267</v>
      </c>
      <c r="E72" s="9">
        <f>Source!AT32</f>
        <v>70</v>
      </c>
      <c r="F72" s="24"/>
      <c r="G72" s="23"/>
      <c r="H72" s="9"/>
      <c r="I72" s="9"/>
      <c r="J72" s="25">
        <f>SUM(R67:R71)</f>
        <v>2911.41</v>
      </c>
      <c r="K72" s="25"/>
    </row>
    <row r="73" spans="1:22" ht="14.25" x14ac:dyDescent="0.2">
      <c r="A73" s="20"/>
      <c r="B73" s="21"/>
      <c r="C73" s="21" t="s">
        <v>268</v>
      </c>
      <c r="D73" s="22" t="s">
        <v>267</v>
      </c>
      <c r="E73" s="9">
        <f>Source!AU32</f>
        <v>10</v>
      </c>
      <c r="F73" s="24"/>
      <c r="G73" s="23"/>
      <c r="H73" s="9"/>
      <c r="I73" s="9"/>
      <c r="J73" s="25">
        <f>SUM(T67:T72)</f>
        <v>415.92</v>
      </c>
      <c r="K73" s="25"/>
    </row>
    <row r="74" spans="1:22" ht="14.25" x14ac:dyDescent="0.2">
      <c r="A74" s="20"/>
      <c r="B74" s="21"/>
      <c r="C74" s="21" t="s">
        <v>273</v>
      </c>
      <c r="D74" s="22" t="s">
        <v>267</v>
      </c>
      <c r="E74" s="9">
        <f>108</f>
        <v>108</v>
      </c>
      <c r="F74" s="24"/>
      <c r="G74" s="23"/>
      <c r="H74" s="9"/>
      <c r="I74" s="9"/>
      <c r="J74" s="25">
        <f>SUM(V67:V73)</f>
        <v>473.48</v>
      </c>
      <c r="K74" s="25"/>
    </row>
    <row r="75" spans="1:22" ht="14.25" x14ac:dyDescent="0.2">
      <c r="A75" s="20"/>
      <c r="B75" s="21"/>
      <c r="C75" s="21" t="s">
        <v>269</v>
      </c>
      <c r="D75" s="22" t="s">
        <v>270</v>
      </c>
      <c r="E75" s="9">
        <f>Source!AQ32</f>
        <v>0.7</v>
      </c>
      <c r="F75" s="24"/>
      <c r="G75" s="23" t="str">
        <f>Source!DI32</f>
        <v/>
      </c>
      <c r="H75" s="9">
        <f>Source!AV32</f>
        <v>1</v>
      </c>
      <c r="I75" s="9"/>
      <c r="J75" s="25"/>
      <c r="K75" s="25">
        <f>Source!U32</f>
        <v>19.46</v>
      </c>
    </row>
    <row r="76" spans="1:22" ht="15" x14ac:dyDescent="0.25">
      <c r="A76" s="29"/>
      <c r="B76" s="29"/>
      <c r="C76" s="29"/>
      <c r="D76" s="29"/>
      <c r="E76" s="29"/>
      <c r="F76" s="29"/>
      <c r="G76" s="29"/>
      <c r="H76" s="29"/>
      <c r="I76" s="64">
        <f>J68+J69+J71+J72+J73+J74</f>
        <v>13386.529999999999</v>
      </c>
      <c r="J76" s="64"/>
      <c r="K76" s="30">
        <f>IF(Source!I32&lt;&gt;0, ROUND(I76/Source!I32, 2), 0)</f>
        <v>481.53</v>
      </c>
      <c r="P76" s="27">
        <f>I76</f>
        <v>13386.529999999999</v>
      </c>
    </row>
    <row r="77" spans="1:22" ht="28.5" x14ac:dyDescent="0.2">
      <c r="A77" s="20" t="str">
        <f>Source!E33</f>
        <v>6</v>
      </c>
      <c r="B77" s="21" t="str">
        <f>Source!F33</f>
        <v>1.50-3203-2-2/1</v>
      </c>
      <c r="C77" s="21" t="str">
        <f>Source!G33</f>
        <v>Установка декоративного деревянного экрана на регистры отопления</v>
      </c>
      <c r="D77" s="22" t="str">
        <f>Source!H33</f>
        <v>м2</v>
      </c>
      <c r="E77" s="9">
        <f>Source!I33</f>
        <v>27.8</v>
      </c>
      <c r="F77" s="88" t="s">
        <v>288</v>
      </c>
      <c r="G77" s="88"/>
      <c r="H77" s="9"/>
      <c r="I77" s="9"/>
      <c r="J77" s="25"/>
      <c r="K77" s="25"/>
      <c r="Q77">
        <f>ROUND((Source!BZ33/100)*ROUND((Source!AF33*Source!AV33)*Source!I33, 2), 2)</f>
        <v>1996.4</v>
      </c>
      <c r="R77">
        <f>Source!X33</f>
        <v>1996.4</v>
      </c>
      <c r="S77">
        <f>ROUND((Source!CA33/100)*ROUND((Source!AF33*Source!AV33)*Source!I33, 2), 2)</f>
        <v>285.2</v>
      </c>
      <c r="T77">
        <f>Source!Y33</f>
        <v>285.2</v>
      </c>
      <c r="U77">
        <f>ROUND((175/100)*ROUND((Source!AE33*Source!AV33)*Source!I33, 2), 2)</f>
        <v>4.87</v>
      </c>
      <c r="V77">
        <f>ROUND((108/100)*ROUND(Source!CS33*Source!I33, 2), 2)</f>
        <v>3</v>
      </c>
    </row>
    <row r="78" spans="1:22" ht="14.25" x14ac:dyDescent="0.2">
      <c r="A78" s="20"/>
      <c r="B78" s="21"/>
      <c r="C78" s="21" t="s">
        <v>264</v>
      </c>
      <c r="D78" s="22"/>
      <c r="E78" s="9"/>
      <c r="F78" s="24">
        <f>Source!AO33</f>
        <v>102.59</v>
      </c>
      <c r="G78" s="23" t="str">
        <f>Source!DG33</f>
        <v/>
      </c>
      <c r="H78" s="9">
        <f>Source!AV33</f>
        <v>1</v>
      </c>
      <c r="I78" s="9">
        <f>IF(Source!BA33&lt;&gt; 0, Source!BA33, 1)</f>
        <v>1</v>
      </c>
      <c r="J78" s="25">
        <f>Source!S33</f>
        <v>2852</v>
      </c>
      <c r="K78" s="25"/>
    </row>
    <row r="79" spans="1:22" ht="14.25" x14ac:dyDescent="0.2">
      <c r="A79" s="20"/>
      <c r="B79" s="21"/>
      <c r="C79" s="21" t="s">
        <v>271</v>
      </c>
      <c r="D79" s="22"/>
      <c r="E79" s="9"/>
      <c r="F79" s="24">
        <f>Source!AM33</f>
        <v>0.96</v>
      </c>
      <c r="G79" s="23" t="str">
        <f>Source!DE33</f>
        <v/>
      </c>
      <c r="H79" s="9">
        <f>Source!AV33</f>
        <v>1</v>
      </c>
      <c r="I79" s="9">
        <f>IF(Source!BB33&lt;&gt; 0, Source!BB33, 1)</f>
        <v>1</v>
      </c>
      <c r="J79" s="25">
        <f>Source!Q33</f>
        <v>26.69</v>
      </c>
      <c r="K79" s="25"/>
    </row>
    <row r="80" spans="1:22" ht="14.25" x14ac:dyDescent="0.2">
      <c r="A80" s="20"/>
      <c r="B80" s="21"/>
      <c r="C80" s="21" t="s">
        <v>272</v>
      </c>
      <c r="D80" s="22"/>
      <c r="E80" s="9"/>
      <c r="F80" s="24">
        <f>Source!AN33</f>
        <v>0.1</v>
      </c>
      <c r="G80" s="23" t="str">
        <f>Source!DF33</f>
        <v/>
      </c>
      <c r="H80" s="9">
        <f>Source!AV33</f>
        <v>1</v>
      </c>
      <c r="I80" s="9">
        <f>IF(Source!BS33&lt;&gt; 0, Source!BS33, 1)</f>
        <v>1</v>
      </c>
      <c r="J80" s="31">
        <f>Source!R33</f>
        <v>2.78</v>
      </c>
      <c r="K80" s="25"/>
    </row>
    <row r="81" spans="1:22" ht="14.25" x14ac:dyDescent="0.2">
      <c r="A81" s="20"/>
      <c r="B81" s="21"/>
      <c r="C81" s="21" t="s">
        <v>265</v>
      </c>
      <c r="D81" s="22"/>
      <c r="E81" s="9"/>
      <c r="F81" s="24">
        <f>Source!AL33</f>
        <v>15.16</v>
      </c>
      <c r="G81" s="23" t="str">
        <f>Source!DD33</f>
        <v/>
      </c>
      <c r="H81" s="9">
        <f>Source!AW33</f>
        <v>1</v>
      </c>
      <c r="I81" s="9">
        <f>IF(Source!BC33&lt;&gt; 0, Source!BC33, 1)</f>
        <v>1</v>
      </c>
      <c r="J81" s="25">
        <f>Source!P33</f>
        <v>421.45</v>
      </c>
      <c r="K81" s="25"/>
    </row>
    <row r="82" spans="1:22" ht="14.25" x14ac:dyDescent="0.2">
      <c r="A82" s="20"/>
      <c r="B82" s="21"/>
      <c r="C82" s="21" t="s">
        <v>266</v>
      </c>
      <c r="D82" s="22" t="s">
        <v>267</v>
      </c>
      <c r="E82" s="9">
        <f>Source!AT33</f>
        <v>70</v>
      </c>
      <c r="F82" s="24"/>
      <c r="G82" s="23"/>
      <c r="H82" s="9"/>
      <c r="I82" s="9"/>
      <c r="J82" s="25">
        <f>SUM(R77:R81)</f>
        <v>1996.4</v>
      </c>
      <c r="K82" s="25"/>
    </row>
    <row r="83" spans="1:22" ht="14.25" x14ac:dyDescent="0.2">
      <c r="A83" s="20"/>
      <c r="B83" s="21"/>
      <c r="C83" s="21" t="s">
        <v>268</v>
      </c>
      <c r="D83" s="22" t="s">
        <v>267</v>
      </c>
      <c r="E83" s="9">
        <f>Source!AU33</f>
        <v>10</v>
      </c>
      <c r="F83" s="24"/>
      <c r="G83" s="23"/>
      <c r="H83" s="9"/>
      <c r="I83" s="9"/>
      <c r="J83" s="25">
        <f>SUM(T77:T82)</f>
        <v>285.2</v>
      </c>
      <c r="K83" s="25"/>
    </row>
    <row r="84" spans="1:22" ht="14.25" x14ac:dyDescent="0.2">
      <c r="A84" s="20"/>
      <c r="B84" s="21"/>
      <c r="C84" s="21" t="s">
        <v>273</v>
      </c>
      <c r="D84" s="22" t="s">
        <v>267</v>
      </c>
      <c r="E84" s="9">
        <f>108</f>
        <v>108</v>
      </c>
      <c r="F84" s="24"/>
      <c r="G84" s="23"/>
      <c r="H84" s="9"/>
      <c r="I84" s="9"/>
      <c r="J84" s="25">
        <f>SUM(V77:V83)</f>
        <v>3</v>
      </c>
      <c r="K84" s="25"/>
    </row>
    <row r="85" spans="1:22" ht="14.25" x14ac:dyDescent="0.2">
      <c r="A85" s="20"/>
      <c r="B85" s="21"/>
      <c r="C85" s="21" t="s">
        <v>269</v>
      </c>
      <c r="D85" s="22" t="s">
        <v>270</v>
      </c>
      <c r="E85" s="9">
        <f>Source!AQ33</f>
        <v>0.48</v>
      </c>
      <c r="F85" s="24"/>
      <c r="G85" s="23" t="str">
        <f>Source!DI33</f>
        <v/>
      </c>
      <c r="H85" s="9">
        <f>Source!AV33</f>
        <v>1</v>
      </c>
      <c r="I85" s="9"/>
      <c r="J85" s="25"/>
      <c r="K85" s="25">
        <f>Source!U33</f>
        <v>13.343999999999999</v>
      </c>
    </row>
    <row r="86" spans="1:22" ht="15" x14ac:dyDescent="0.25">
      <c r="A86" s="29"/>
      <c r="B86" s="29"/>
      <c r="C86" s="29"/>
      <c r="D86" s="29"/>
      <c r="E86" s="29"/>
      <c r="F86" s="29"/>
      <c r="G86" s="29"/>
      <c r="H86" s="29"/>
      <c r="I86" s="64">
        <f>J78+J79+J81+J82+J83+J84</f>
        <v>5584.74</v>
      </c>
      <c r="J86" s="64"/>
      <c r="K86" s="30">
        <f>IF(Source!I33&lt;&gt;0, ROUND(I86/Source!I33, 2), 0)</f>
        <v>200.89</v>
      </c>
      <c r="P86" s="27">
        <f>I86</f>
        <v>5584.74</v>
      </c>
    </row>
    <row r="87" spans="1:22" ht="42.75" x14ac:dyDescent="0.2">
      <c r="A87" s="20" t="str">
        <f>Source!E34</f>
        <v>7</v>
      </c>
      <c r="B87" s="21" t="str">
        <f>Source!F34</f>
        <v>1.13-3203-12-1/1</v>
      </c>
      <c r="C87" s="21" t="str">
        <f>Source!G34</f>
        <v>Улучшенная окраска стен колером масляным разбеленным по дереву/деревянный экран</v>
      </c>
      <c r="D87" s="22" t="str">
        <f>Source!H34</f>
        <v>100 м2</v>
      </c>
      <c r="E87" s="9">
        <f>Source!I34</f>
        <v>0.27800000000000002</v>
      </c>
      <c r="F87" s="88" t="s">
        <v>289</v>
      </c>
      <c r="G87" s="88"/>
      <c r="H87" s="9"/>
      <c r="I87" s="9"/>
      <c r="J87" s="25"/>
      <c r="K87" s="25"/>
      <c r="Q87">
        <f>ROUND((Source!BZ34/100)*ROUND((Source!AF34*Source!AV34)*Source!I34, 2), 2)</f>
        <v>2316.59</v>
      </c>
      <c r="R87">
        <f>Source!X34</f>
        <v>2316.59</v>
      </c>
      <c r="S87">
        <f>ROUND((Source!CA34/100)*ROUND((Source!AF34*Source!AV34)*Source!I34, 2), 2)</f>
        <v>330.94</v>
      </c>
      <c r="T87">
        <f>Source!Y34</f>
        <v>330.94</v>
      </c>
      <c r="U87">
        <f>ROUND((175/100)*ROUND((Source!AE34*Source!AV34)*Source!I34, 2), 2)</f>
        <v>0</v>
      </c>
      <c r="V87">
        <f>ROUND((108/100)*ROUND(Source!CS34*Source!I34, 2), 2)</f>
        <v>0</v>
      </c>
    </row>
    <row r="88" spans="1:22" x14ac:dyDescent="0.2">
      <c r="C88" s="26" t="str">
        <f>"Объем: "&amp;Source!I34&amp;"=27,8/"&amp;"100"</f>
        <v>Объем: 0,278=27,8/100</v>
      </c>
    </row>
    <row r="89" spans="1:22" ht="14.25" x14ac:dyDescent="0.2">
      <c r="A89" s="20"/>
      <c r="B89" s="21"/>
      <c r="C89" s="21" t="s">
        <v>264</v>
      </c>
      <c r="D89" s="22"/>
      <c r="E89" s="9"/>
      <c r="F89" s="24">
        <f>Source!AO34</f>
        <v>11904.4</v>
      </c>
      <c r="G89" s="23" t="str">
        <f>Source!DG34</f>
        <v/>
      </c>
      <c r="H89" s="9">
        <f>Source!AV34</f>
        <v>1</v>
      </c>
      <c r="I89" s="9">
        <f>IF(Source!BA34&lt;&gt; 0, Source!BA34, 1)</f>
        <v>1</v>
      </c>
      <c r="J89" s="25">
        <f>Source!S34</f>
        <v>3309.42</v>
      </c>
      <c r="K89" s="25"/>
    </row>
    <row r="90" spans="1:22" ht="14.25" x14ac:dyDescent="0.2">
      <c r="A90" s="20"/>
      <c r="B90" s="21"/>
      <c r="C90" s="21" t="s">
        <v>265</v>
      </c>
      <c r="D90" s="22"/>
      <c r="E90" s="9"/>
      <c r="F90" s="24">
        <f>Source!AL34</f>
        <v>3140.54</v>
      </c>
      <c r="G90" s="23" t="str">
        <f>Source!DD34</f>
        <v/>
      </c>
      <c r="H90" s="9">
        <f>Source!AW34</f>
        <v>1</v>
      </c>
      <c r="I90" s="9">
        <f>IF(Source!BC34&lt;&gt; 0, Source!BC34, 1)</f>
        <v>1</v>
      </c>
      <c r="J90" s="25">
        <f>Source!P34</f>
        <v>873.07</v>
      </c>
      <c r="K90" s="25"/>
    </row>
    <row r="91" spans="1:22" ht="14.25" x14ac:dyDescent="0.2">
      <c r="A91" s="20"/>
      <c r="B91" s="21"/>
      <c r="C91" s="21" t="s">
        <v>266</v>
      </c>
      <c r="D91" s="22" t="s">
        <v>267</v>
      </c>
      <c r="E91" s="9">
        <f>Source!AT34</f>
        <v>70</v>
      </c>
      <c r="F91" s="24"/>
      <c r="G91" s="23"/>
      <c r="H91" s="9"/>
      <c r="I91" s="9"/>
      <c r="J91" s="25">
        <f>SUM(R87:R90)</f>
        <v>2316.59</v>
      </c>
      <c r="K91" s="25"/>
    </row>
    <row r="92" spans="1:22" ht="14.25" x14ac:dyDescent="0.2">
      <c r="A92" s="20"/>
      <c r="B92" s="21"/>
      <c r="C92" s="21" t="s">
        <v>268</v>
      </c>
      <c r="D92" s="22" t="s">
        <v>267</v>
      </c>
      <c r="E92" s="9">
        <f>Source!AU34</f>
        <v>10</v>
      </c>
      <c r="F92" s="24"/>
      <c r="G92" s="23"/>
      <c r="H92" s="9"/>
      <c r="I92" s="9"/>
      <c r="J92" s="25">
        <f>SUM(T87:T91)</f>
        <v>330.94</v>
      </c>
      <c r="K92" s="25"/>
    </row>
    <row r="93" spans="1:22" ht="14.25" x14ac:dyDescent="0.2">
      <c r="A93" s="20"/>
      <c r="B93" s="21"/>
      <c r="C93" s="21" t="s">
        <v>269</v>
      </c>
      <c r="D93" s="22" t="s">
        <v>270</v>
      </c>
      <c r="E93" s="9">
        <f>Source!AQ34</f>
        <v>61.18</v>
      </c>
      <c r="F93" s="24"/>
      <c r="G93" s="23" t="str">
        <f>Source!DI34</f>
        <v/>
      </c>
      <c r="H93" s="9">
        <f>Source!AV34</f>
        <v>1</v>
      </c>
      <c r="I93" s="9"/>
      <c r="J93" s="25"/>
      <c r="K93" s="25">
        <f>Source!U34</f>
        <v>17.008040000000001</v>
      </c>
    </row>
    <row r="94" spans="1:22" ht="15" x14ac:dyDescent="0.25">
      <c r="A94" s="29"/>
      <c r="B94" s="29"/>
      <c r="C94" s="29"/>
      <c r="D94" s="29"/>
      <c r="E94" s="29"/>
      <c r="F94" s="29"/>
      <c r="G94" s="29"/>
      <c r="H94" s="29"/>
      <c r="I94" s="64">
        <f>J89+J90+J91+J92</f>
        <v>6830.0199999999995</v>
      </c>
      <c r="J94" s="64"/>
      <c r="K94" s="30">
        <f>IF(Source!I34&lt;&gt;0, ROUND(I94/Source!I34, 2), 0)</f>
        <v>24568.42</v>
      </c>
      <c r="P94" s="27">
        <f>I94</f>
        <v>6830.0199999999995</v>
      </c>
    </row>
    <row r="95" spans="1:22" ht="42.75" x14ac:dyDescent="0.2">
      <c r="A95" s="20" t="str">
        <f>Source!E35</f>
        <v>8</v>
      </c>
      <c r="B95" s="21" t="str">
        <f>Source!F35</f>
        <v>1.13-3605-1-6/1</v>
      </c>
      <c r="C95" s="21" t="str">
        <f>Source!G35</f>
        <v>Обделка выступающих углов стен наличниками из хвойных пород по дереву (без окраски)</v>
      </c>
      <c r="D95" s="22" t="str">
        <f>Source!H35</f>
        <v>100 м</v>
      </c>
      <c r="E95" s="9">
        <f>Source!I35</f>
        <v>0.18</v>
      </c>
      <c r="F95" s="24"/>
      <c r="G95" s="23"/>
      <c r="H95" s="9"/>
      <c r="I95" s="9"/>
      <c r="J95" s="25"/>
      <c r="K95" s="25"/>
      <c r="Q95">
        <f>ROUND((Source!BZ35/100)*ROUND((Source!AF35*Source!AV35)*Source!I35, 2), 2)</f>
        <v>505.55</v>
      </c>
      <c r="R95">
        <f>Source!X35</f>
        <v>505.55</v>
      </c>
      <c r="S95">
        <f>ROUND((Source!CA35/100)*ROUND((Source!AF35*Source!AV35)*Source!I35, 2), 2)</f>
        <v>72.22</v>
      </c>
      <c r="T95">
        <f>Source!Y35</f>
        <v>72.22</v>
      </c>
      <c r="U95">
        <f>ROUND((175/100)*ROUND((Source!AE35*Source!AV35)*Source!I35, 2), 2)</f>
        <v>0</v>
      </c>
      <c r="V95">
        <f>ROUND((108/100)*ROUND(Source!CS35*Source!I35, 2), 2)</f>
        <v>0</v>
      </c>
    </row>
    <row r="96" spans="1:22" x14ac:dyDescent="0.2">
      <c r="C96" s="26" t="str">
        <f>"Объем: "&amp;Source!I35&amp;"=18/"&amp;"100"</f>
        <v>Объем: 0,18=18/100</v>
      </c>
    </row>
    <row r="97" spans="1:22" ht="14.25" x14ac:dyDescent="0.2">
      <c r="A97" s="20"/>
      <c r="B97" s="21"/>
      <c r="C97" s="21" t="s">
        <v>264</v>
      </c>
      <c r="D97" s="22"/>
      <c r="E97" s="9"/>
      <c r="F97" s="24">
        <f>Source!AO35</f>
        <v>4012.28</v>
      </c>
      <c r="G97" s="23" t="str">
        <f>Source!DG35</f>
        <v/>
      </c>
      <c r="H97" s="9">
        <f>Source!AV35</f>
        <v>1</v>
      </c>
      <c r="I97" s="9">
        <f>IF(Source!BA35&lt;&gt; 0, Source!BA35, 1)</f>
        <v>1</v>
      </c>
      <c r="J97" s="25">
        <f>Source!S35</f>
        <v>722.21</v>
      </c>
      <c r="K97" s="25"/>
    </row>
    <row r="98" spans="1:22" ht="14.25" x14ac:dyDescent="0.2">
      <c r="A98" s="20"/>
      <c r="B98" s="21"/>
      <c r="C98" s="21" t="s">
        <v>265</v>
      </c>
      <c r="D98" s="22"/>
      <c r="E98" s="9"/>
      <c r="F98" s="24">
        <f>Source!AL35</f>
        <v>8587.2900000000009</v>
      </c>
      <c r="G98" s="23" t="str">
        <f>Source!DD35</f>
        <v/>
      </c>
      <c r="H98" s="9">
        <f>Source!AW35</f>
        <v>1</v>
      </c>
      <c r="I98" s="9">
        <f>IF(Source!BC35&lt;&gt; 0, Source!BC35, 1)</f>
        <v>1</v>
      </c>
      <c r="J98" s="25">
        <f>Source!P35</f>
        <v>1545.71</v>
      </c>
      <c r="K98" s="25"/>
    </row>
    <row r="99" spans="1:22" ht="28.5" x14ac:dyDescent="0.2">
      <c r="A99" s="20" t="str">
        <f>Source!E36</f>
        <v>8,1</v>
      </c>
      <c r="B99" s="21" t="str">
        <f>Source!F36</f>
        <v>21.9-12-43</v>
      </c>
      <c r="C99" s="21" t="str">
        <f>Source!G36</f>
        <v>Наличники хвойных пород, проолифленные, сечение 74х13 мм</v>
      </c>
      <c r="D99" s="22" t="str">
        <f>Source!H36</f>
        <v>м</v>
      </c>
      <c r="E99" s="9">
        <f>Source!I36</f>
        <v>-40.32</v>
      </c>
      <c r="F99" s="24">
        <f>Source!AK36</f>
        <v>38.049999999999997</v>
      </c>
      <c r="G99" s="32" t="s">
        <v>3</v>
      </c>
      <c r="H99" s="9">
        <f>Source!AW36</f>
        <v>1</v>
      </c>
      <c r="I99" s="9">
        <f>IF(Source!BC36&lt;&gt; 0, Source!BC36, 1)</f>
        <v>1</v>
      </c>
      <c r="J99" s="25">
        <f>Source!O36</f>
        <v>-1534.18</v>
      </c>
      <c r="K99" s="25"/>
      <c r="Q99">
        <f>ROUND((Source!BZ36/100)*ROUND((Source!AF36*Source!AV36)*Source!I36, 2), 2)</f>
        <v>0</v>
      </c>
      <c r="R99">
        <f>Source!X36</f>
        <v>0</v>
      </c>
      <c r="S99">
        <f>ROUND((Source!CA36/100)*ROUND((Source!AF36*Source!AV36)*Source!I36, 2), 2)</f>
        <v>0</v>
      </c>
      <c r="T99">
        <f>Source!Y36</f>
        <v>0</v>
      </c>
      <c r="U99">
        <f>ROUND((175/100)*ROUND((Source!AE36*Source!AV36)*Source!I36, 2), 2)</f>
        <v>0</v>
      </c>
      <c r="V99">
        <f>ROUND((108/100)*ROUND(Source!CS36*Source!I36, 2), 2)</f>
        <v>0</v>
      </c>
    </row>
    <row r="100" spans="1:22" ht="28.5" x14ac:dyDescent="0.2">
      <c r="A100" s="20" t="str">
        <f>Source!E37</f>
        <v>8,2</v>
      </c>
      <c r="B100" s="21" t="str">
        <f>Source!F37</f>
        <v>21.9-12-35</v>
      </c>
      <c r="C100" s="21" t="str">
        <f>Source!G37</f>
        <v>Наличники хвойных пород, окрашенные, сечение 54х13 мм</v>
      </c>
      <c r="D100" s="22" t="str">
        <f>Source!H37</f>
        <v>м</v>
      </c>
      <c r="E100" s="9">
        <f>Source!I37</f>
        <v>40.32</v>
      </c>
      <c r="F100" s="24">
        <f>Source!AK37</f>
        <v>38.479999999999997</v>
      </c>
      <c r="G100" s="32" t="s">
        <v>3</v>
      </c>
      <c r="H100" s="9">
        <f>Source!AW37</f>
        <v>1</v>
      </c>
      <c r="I100" s="9">
        <f>IF(Source!BC37&lt;&gt; 0, Source!BC37, 1)</f>
        <v>1</v>
      </c>
      <c r="J100" s="25">
        <f>Source!O37</f>
        <v>1551.51</v>
      </c>
      <c r="K100" s="25"/>
      <c r="Q100">
        <f>ROUND((Source!BZ37/100)*ROUND((Source!AF37*Source!AV37)*Source!I37, 2), 2)</f>
        <v>0</v>
      </c>
      <c r="R100">
        <f>Source!X37</f>
        <v>0</v>
      </c>
      <c r="S100">
        <f>ROUND((Source!CA37/100)*ROUND((Source!AF37*Source!AV37)*Source!I37, 2), 2)</f>
        <v>0</v>
      </c>
      <c r="T100">
        <f>Source!Y37</f>
        <v>0</v>
      </c>
      <c r="U100">
        <f>ROUND((175/100)*ROUND((Source!AE37*Source!AV37)*Source!I37, 2), 2)</f>
        <v>0</v>
      </c>
      <c r="V100">
        <f>ROUND((108/100)*ROUND(Source!CS37*Source!I37, 2), 2)</f>
        <v>0</v>
      </c>
    </row>
    <row r="101" spans="1:22" ht="14.25" x14ac:dyDescent="0.2">
      <c r="A101" s="20"/>
      <c r="B101" s="21"/>
      <c r="C101" s="21" t="s">
        <v>266</v>
      </c>
      <c r="D101" s="22" t="s">
        <v>267</v>
      </c>
      <c r="E101" s="9">
        <f>Source!AT35</f>
        <v>70</v>
      </c>
      <c r="F101" s="24"/>
      <c r="G101" s="23"/>
      <c r="H101" s="9"/>
      <c r="I101" s="9"/>
      <c r="J101" s="25">
        <f>SUM(R95:R100)</f>
        <v>505.55</v>
      </c>
      <c r="K101" s="25"/>
    </row>
    <row r="102" spans="1:22" ht="14.25" x14ac:dyDescent="0.2">
      <c r="A102" s="20"/>
      <c r="B102" s="21"/>
      <c r="C102" s="21" t="s">
        <v>268</v>
      </c>
      <c r="D102" s="22" t="s">
        <v>267</v>
      </c>
      <c r="E102" s="9">
        <f>Source!AU35</f>
        <v>10</v>
      </c>
      <c r="F102" s="24"/>
      <c r="G102" s="23"/>
      <c r="H102" s="9"/>
      <c r="I102" s="9"/>
      <c r="J102" s="25">
        <f>SUM(T95:T101)</f>
        <v>72.22</v>
      </c>
      <c r="K102" s="25"/>
    </row>
    <row r="103" spans="1:22" ht="14.25" x14ac:dyDescent="0.2">
      <c r="A103" s="20"/>
      <c r="B103" s="21"/>
      <c r="C103" s="21" t="s">
        <v>269</v>
      </c>
      <c r="D103" s="22" t="s">
        <v>270</v>
      </c>
      <c r="E103" s="9">
        <f>Source!AQ35</f>
        <v>24.15</v>
      </c>
      <c r="F103" s="24"/>
      <c r="G103" s="23" t="str">
        <f>Source!DI35</f>
        <v/>
      </c>
      <c r="H103" s="9">
        <f>Source!AV35</f>
        <v>1</v>
      </c>
      <c r="I103" s="9"/>
      <c r="J103" s="25"/>
      <c r="K103" s="25">
        <f>Source!U35</f>
        <v>4.3469999999999995</v>
      </c>
    </row>
    <row r="104" spans="1:22" ht="15" x14ac:dyDescent="0.25">
      <c r="A104" s="29"/>
      <c r="B104" s="29"/>
      <c r="C104" s="29"/>
      <c r="D104" s="29"/>
      <c r="E104" s="29"/>
      <c r="F104" s="29"/>
      <c r="G104" s="29"/>
      <c r="H104" s="29"/>
      <c r="I104" s="64">
        <f>J97+J98+J101+J102+SUM(J99:J100)</f>
        <v>2863.02</v>
      </c>
      <c r="J104" s="64"/>
      <c r="K104" s="30">
        <f>IF(Source!I35&lt;&gt;0, ROUND(I104/Source!I35, 2), 0)</f>
        <v>15905.67</v>
      </c>
      <c r="P104" s="27">
        <f>I104</f>
        <v>2863.02</v>
      </c>
    </row>
    <row r="105" spans="1:22" ht="28.5" x14ac:dyDescent="0.2">
      <c r="A105" s="20" t="str">
        <f>Source!E38</f>
        <v>9</v>
      </c>
      <c r="B105" s="21" t="str">
        <f>Source!F38</f>
        <v>1.10-3403-2-2/1</v>
      </c>
      <c r="C105" s="21" t="str">
        <f>Source!G38</f>
        <v>Устройство покрытий дощатых толщиной, мм 36</v>
      </c>
      <c r="D105" s="22" t="str">
        <f>Source!H38</f>
        <v>100 м2</v>
      </c>
      <c r="E105" s="9">
        <f>Source!I38</f>
        <v>0.4</v>
      </c>
      <c r="F105" s="24"/>
      <c r="G105" s="23"/>
      <c r="H105" s="9"/>
      <c r="I105" s="9"/>
      <c r="J105" s="25"/>
      <c r="K105" s="25"/>
      <c r="Q105">
        <f>ROUND((Source!BZ38/100)*ROUND((Source!AF38*Source!AV38)*Source!I38, 2), 2)</f>
        <v>3395.2</v>
      </c>
      <c r="R105">
        <f>Source!X38</f>
        <v>3395.2</v>
      </c>
      <c r="S105">
        <f>ROUND((Source!CA38/100)*ROUND((Source!AF38*Source!AV38)*Source!I38, 2), 2)</f>
        <v>485.03</v>
      </c>
      <c r="T105">
        <f>Source!Y38</f>
        <v>485.03</v>
      </c>
      <c r="U105">
        <f>ROUND((175/100)*ROUND((Source!AE38*Source!AV38)*Source!I38, 2), 2)</f>
        <v>2.56</v>
      </c>
      <c r="V105">
        <f>ROUND((108/100)*ROUND(Source!CS38*Source!I38, 2), 2)</f>
        <v>1.58</v>
      </c>
    </row>
    <row r="106" spans="1:22" x14ac:dyDescent="0.2">
      <c r="C106" s="26" t="str">
        <f>"Объем: "&amp;Source!I38&amp;"=40/"&amp;"100"</f>
        <v>Объем: 0,4=40/100</v>
      </c>
    </row>
    <row r="107" spans="1:22" ht="14.25" x14ac:dyDescent="0.2">
      <c r="A107" s="20"/>
      <c r="B107" s="21"/>
      <c r="C107" s="21" t="s">
        <v>264</v>
      </c>
      <c r="D107" s="22"/>
      <c r="E107" s="9"/>
      <c r="F107" s="24">
        <f>Source!AO38</f>
        <v>12125.72</v>
      </c>
      <c r="G107" s="23" t="str">
        <f>Source!DG38</f>
        <v/>
      </c>
      <c r="H107" s="9">
        <f>Source!AV38</f>
        <v>1</v>
      </c>
      <c r="I107" s="9">
        <f>IF(Source!BA38&lt;&gt; 0, Source!BA38, 1)</f>
        <v>1</v>
      </c>
      <c r="J107" s="25">
        <f>Source!S38</f>
        <v>4850.29</v>
      </c>
      <c r="K107" s="25"/>
    </row>
    <row r="108" spans="1:22" ht="14.25" x14ac:dyDescent="0.2">
      <c r="A108" s="20"/>
      <c r="B108" s="21"/>
      <c r="C108" s="21" t="s">
        <v>271</v>
      </c>
      <c r="D108" s="22"/>
      <c r="E108" s="9"/>
      <c r="F108" s="24">
        <f>Source!AM38</f>
        <v>24.39</v>
      </c>
      <c r="G108" s="23" t="str">
        <f>Source!DE38</f>
        <v/>
      </c>
      <c r="H108" s="9">
        <f>Source!AV38</f>
        <v>1</v>
      </c>
      <c r="I108" s="9">
        <f>IF(Source!BB38&lt;&gt; 0, Source!BB38, 1)</f>
        <v>1</v>
      </c>
      <c r="J108" s="25">
        <f>Source!Q38</f>
        <v>9.76</v>
      </c>
      <c r="K108" s="25"/>
    </row>
    <row r="109" spans="1:22" ht="14.25" x14ac:dyDescent="0.2">
      <c r="A109" s="20"/>
      <c r="B109" s="21"/>
      <c r="C109" s="21" t="s">
        <v>272</v>
      </c>
      <c r="D109" s="22"/>
      <c r="E109" s="9"/>
      <c r="F109" s="24">
        <f>Source!AN38</f>
        <v>3.66</v>
      </c>
      <c r="G109" s="23" t="str">
        <f>Source!DF38</f>
        <v/>
      </c>
      <c r="H109" s="9">
        <f>Source!AV38</f>
        <v>1</v>
      </c>
      <c r="I109" s="9">
        <f>IF(Source!BS38&lt;&gt; 0, Source!BS38, 1)</f>
        <v>1</v>
      </c>
      <c r="J109" s="31">
        <f>Source!R38</f>
        <v>1.46</v>
      </c>
      <c r="K109" s="25"/>
    </row>
    <row r="110" spans="1:22" ht="14.25" x14ac:dyDescent="0.2">
      <c r="A110" s="20"/>
      <c r="B110" s="21"/>
      <c r="C110" s="21" t="s">
        <v>265</v>
      </c>
      <c r="D110" s="22"/>
      <c r="E110" s="9"/>
      <c r="F110" s="24">
        <f>Source!AL38</f>
        <v>54365.81</v>
      </c>
      <c r="G110" s="23" t="str">
        <f>Source!DD38</f>
        <v/>
      </c>
      <c r="H110" s="9">
        <f>Source!AW38</f>
        <v>1</v>
      </c>
      <c r="I110" s="9">
        <f>IF(Source!BC38&lt;&gt; 0, Source!BC38, 1)</f>
        <v>1</v>
      </c>
      <c r="J110" s="25">
        <f>Source!P38</f>
        <v>21746.32</v>
      </c>
      <c r="K110" s="25"/>
    </row>
    <row r="111" spans="1:22" ht="42.75" x14ac:dyDescent="0.2">
      <c r="A111" s="20" t="str">
        <f>Source!E39</f>
        <v>9,1</v>
      </c>
      <c r="B111" s="21" t="str">
        <f>Source!F39</f>
        <v>21.9-12-13</v>
      </c>
      <c r="C111" s="21" t="str">
        <f>Source!G39</f>
        <v>Доски хвойных пород для покрытия пола, со шпунтом и гребнем, антисептированные, толщина 36 мм</v>
      </c>
      <c r="D111" s="22" t="str">
        <f>Source!H39</f>
        <v>м3</v>
      </c>
      <c r="E111" s="9">
        <f>Source!I39</f>
        <v>-1.484</v>
      </c>
      <c r="F111" s="24">
        <f>Source!AK39</f>
        <v>14332.86</v>
      </c>
      <c r="G111" s="32" t="s">
        <v>3</v>
      </c>
      <c r="H111" s="9">
        <f>Source!AW39</f>
        <v>1</v>
      </c>
      <c r="I111" s="9">
        <f>IF(Source!BC39&lt;&gt; 0, Source!BC39, 1)</f>
        <v>1</v>
      </c>
      <c r="J111" s="25">
        <f>Source!O39</f>
        <v>-21269.96</v>
      </c>
      <c r="K111" s="25"/>
      <c r="Q111">
        <f>ROUND((Source!BZ39/100)*ROUND((Source!AF39*Source!AV39)*Source!I39, 2), 2)</f>
        <v>0</v>
      </c>
      <c r="R111">
        <f>Source!X39</f>
        <v>0</v>
      </c>
      <c r="S111">
        <f>ROUND((Source!CA39/100)*ROUND((Source!AF39*Source!AV39)*Source!I39, 2), 2)</f>
        <v>0</v>
      </c>
      <c r="T111">
        <f>Source!Y39</f>
        <v>0</v>
      </c>
      <c r="U111">
        <f>ROUND((175/100)*ROUND((Source!AE39*Source!AV39)*Source!I39, 2), 2)</f>
        <v>0</v>
      </c>
      <c r="V111">
        <f>ROUND((108/100)*ROUND(Source!CS39*Source!I39, 2), 2)</f>
        <v>0</v>
      </c>
    </row>
    <row r="112" spans="1:22" ht="14.25" x14ac:dyDescent="0.2">
      <c r="A112" s="20"/>
      <c r="B112" s="21"/>
      <c r="C112" s="21" t="s">
        <v>266</v>
      </c>
      <c r="D112" s="22" t="s">
        <v>267</v>
      </c>
      <c r="E112" s="9">
        <f>Source!AT38</f>
        <v>70</v>
      </c>
      <c r="F112" s="24"/>
      <c r="G112" s="23"/>
      <c r="H112" s="9"/>
      <c r="I112" s="9"/>
      <c r="J112" s="25">
        <f>SUM(R105:R111)</f>
        <v>3395.2</v>
      </c>
      <c r="K112" s="25"/>
    </row>
    <row r="113" spans="1:22" ht="14.25" x14ac:dyDescent="0.2">
      <c r="A113" s="20"/>
      <c r="B113" s="21"/>
      <c r="C113" s="21" t="s">
        <v>268</v>
      </c>
      <c r="D113" s="22" t="s">
        <v>267</v>
      </c>
      <c r="E113" s="9">
        <f>Source!AU38</f>
        <v>10</v>
      </c>
      <c r="F113" s="24"/>
      <c r="G113" s="23"/>
      <c r="H113" s="9"/>
      <c r="I113" s="9"/>
      <c r="J113" s="25">
        <f>SUM(T105:T112)</f>
        <v>485.03</v>
      </c>
      <c r="K113" s="25"/>
    </row>
    <row r="114" spans="1:22" ht="14.25" x14ac:dyDescent="0.2">
      <c r="A114" s="20"/>
      <c r="B114" s="21"/>
      <c r="C114" s="21" t="s">
        <v>273</v>
      </c>
      <c r="D114" s="22" t="s">
        <v>267</v>
      </c>
      <c r="E114" s="9">
        <f>108</f>
        <v>108</v>
      </c>
      <c r="F114" s="24"/>
      <c r="G114" s="23"/>
      <c r="H114" s="9"/>
      <c r="I114" s="9"/>
      <c r="J114" s="25">
        <f>SUM(V105:V113)</f>
        <v>1.58</v>
      </c>
      <c r="K114" s="25"/>
    </row>
    <row r="115" spans="1:22" ht="14.25" x14ac:dyDescent="0.2">
      <c r="A115" s="20"/>
      <c r="B115" s="21"/>
      <c r="C115" s="21" t="s">
        <v>269</v>
      </c>
      <c r="D115" s="22" t="s">
        <v>270</v>
      </c>
      <c r="E115" s="9">
        <f>Source!AQ38</f>
        <v>69.12</v>
      </c>
      <c r="F115" s="24"/>
      <c r="G115" s="23" t="str">
        <f>Source!DI38</f>
        <v/>
      </c>
      <c r="H115" s="9">
        <f>Source!AV38</f>
        <v>1</v>
      </c>
      <c r="I115" s="9"/>
      <c r="J115" s="25"/>
      <c r="K115" s="25">
        <f>Source!U38</f>
        <v>27.648000000000003</v>
      </c>
    </row>
    <row r="116" spans="1:22" ht="15" x14ac:dyDescent="0.25">
      <c r="A116" s="29"/>
      <c r="B116" s="29"/>
      <c r="C116" s="29"/>
      <c r="D116" s="29"/>
      <c r="E116" s="29"/>
      <c r="F116" s="29"/>
      <c r="G116" s="29"/>
      <c r="H116" s="29"/>
      <c r="I116" s="64">
        <f>J107+J108+J110+J112+J113+J114+SUM(J111:J111)</f>
        <v>9218.2200000000012</v>
      </c>
      <c r="J116" s="64"/>
      <c r="K116" s="30">
        <f>IF(Source!I38&lt;&gt;0, ROUND(I116/Source!I38, 2), 0)</f>
        <v>23045.55</v>
      </c>
      <c r="P116" s="27">
        <f>I116</f>
        <v>9218.2200000000012</v>
      </c>
    </row>
    <row r="117" spans="1:22" ht="28.5" x14ac:dyDescent="0.2">
      <c r="A117" s="75" t="str">
        <f>Source!E40</f>
        <v>10</v>
      </c>
      <c r="B117" s="76" t="str">
        <f>Source!F40</f>
        <v>1.10-3203-3-7/1</v>
      </c>
      <c r="C117" s="76" t="str">
        <f>Source!G40</f>
        <v>Устройство тепло - и звукоизоляции пола из фанеры толщиной 10 мм</v>
      </c>
      <c r="D117" s="77" t="str">
        <f>Source!H40</f>
        <v>100 м2</v>
      </c>
      <c r="E117" s="78">
        <f>Source!I40</f>
        <v>1.58</v>
      </c>
      <c r="F117" s="79"/>
      <c r="G117" s="80"/>
      <c r="H117" s="78"/>
      <c r="I117" s="78"/>
      <c r="J117" s="81"/>
      <c r="K117" s="81"/>
      <c r="Q117">
        <f>ROUND((Source!BZ40/100)*ROUND((Source!AF40*Source!AV40)*Source!I40, 2), 2)</f>
        <v>20943.43</v>
      </c>
      <c r="R117">
        <f>Source!X40</f>
        <v>20943.43</v>
      </c>
      <c r="S117">
        <f>ROUND((Source!CA40/100)*ROUND((Source!AF40*Source!AV40)*Source!I40, 2), 2)</f>
        <v>2991.92</v>
      </c>
      <c r="T117">
        <f>Source!Y40</f>
        <v>2991.92</v>
      </c>
      <c r="U117">
        <f>ROUND((175/100)*ROUND((Source!AE40*Source!AV40)*Source!I40, 2), 2)</f>
        <v>456.52</v>
      </c>
      <c r="V117">
        <f>ROUND((108/100)*ROUND(Source!CS40*Source!I40, 2), 2)</f>
        <v>281.74</v>
      </c>
    </row>
    <row r="118" spans="1:22" x14ac:dyDescent="0.2">
      <c r="A118" s="82"/>
      <c r="B118" s="82"/>
      <c r="C118" s="83" t="str">
        <f>"Объем: "&amp;Source!I40&amp;"=158/"&amp;"100"</f>
        <v>Объем: 1,58=158/100</v>
      </c>
      <c r="D118" s="82"/>
      <c r="E118" s="82"/>
      <c r="F118" s="82"/>
      <c r="G118" s="82"/>
      <c r="H118" s="82"/>
      <c r="I118" s="82"/>
      <c r="J118" s="82"/>
      <c r="K118" s="82"/>
    </row>
    <row r="119" spans="1:22" ht="14.25" x14ac:dyDescent="0.2">
      <c r="A119" s="75"/>
      <c r="B119" s="76"/>
      <c r="C119" s="76" t="s">
        <v>264</v>
      </c>
      <c r="D119" s="77"/>
      <c r="E119" s="78"/>
      <c r="F119" s="79">
        <f>Source!AO40</f>
        <v>18936.189999999999</v>
      </c>
      <c r="G119" s="80" t="str">
        <f>Source!DG40</f>
        <v/>
      </c>
      <c r="H119" s="78">
        <f>Source!AV40</f>
        <v>1</v>
      </c>
      <c r="I119" s="78">
        <f>IF(Source!BA40&lt;&gt; 0, Source!BA40, 1)</f>
        <v>1</v>
      </c>
      <c r="J119" s="81">
        <f>Source!S40</f>
        <v>29919.18</v>
      </c>
      <c r="K119" s="81"/>
    </row>
    <row r="120" spans="1:22" ht="14.25" x14ac:dyDescent="0.2">
      <c r="A120" s="75"/>
      <c r="B120" s="76"/>
      <c r="C120" s="76" t="s">
        <v>271</v>
      </c>
      <c r="D120" s="77"/>
      <c r="E120" s="78"/>
      <c r="F120" s="79">
        <f>Source!AM40</f>
        <v>469.3</v>
      </c>
      <c r="G120" s="80" t="str">
        <f>Source!DE40</f>
        <v/>
      </c>
      <c r="H120" s="78">
        <f>Source!AV40</f>
        <v>1</v>
      </c>
      <c r="I120" s="78">
        <f>IF(Source!BB40&lt;&gt; 0, Source!BB40, 1)</f>
        <v>1</v>
      </c>
      <c r="J120" s="81">
        <f>Source!Q40</f>
        <v>741.49</v>
      </c>
      <c r="K120" s="81"/>
    </row>
    <row r="121" spans="1:22" ht="14.25" x14ac:dyDescent="0.2">
      <c r="A121" s="75"/>
      <c r="B121" s="76"/>
      <c r="C121" s="76" t="s">
        <v>272</v>
      </c>
      <c r="D121" s="77"/>
      <c r="E121" s="78"/>
      <c r="F121" s="79">
        <f>Source!AN40</f>
        <v>165.11</v>
      </c>
      <c r="G121" s="80" t="str">
        <f>Source!DF40</f>
        <v/>
      </c>
      <c r="H121" s="78">
        <f>Source!AV40</f>
        <v>1</v>
      </c>
      <c r="I121" s="78">
        <f>IF(Source!BS40&lt;&gt; 0, Source!BS40, 1)</f>
        <v>1</v>
      </c>
      <c r="J121" s="84">
        <f>Source!R40</f>
        <v>260.87</v>
      </c>
      <c r="K121" s="81"/>
    </row>
    <row r="122" spans="1:22" ht="14.25" x14ac:dyDescent="0.2">
      <c r="A122" s="75"/>
      <c r="B122" s="76"/>
      <c r="C122" s="76" t="s">
        <v>265</v>
      </c>
      <c r="D122" s="77"/>
      <c r="E122" s="78"/>
      <c r="F122" s="79">
        <f>Source!AL40</f>
        <v>55052.43</v>
      </c>
      <c r="G122" s="80" t="str">
        <f>Source!DD40</f>
        <v/>
      </c>
      <c r="H122" s="78">
        <f>Source!AW40</f>
        <v>1</v>
      </c>
      <c r="I122" s="78">
        <f>IF(Source!BC40&lt;&gt; 0, Source!BC40, 1)</f>
        <v>1</v>
      </c>
      <c r="J122" s="81">
        <f>Source!P40</f>
        <v>86982.84</v>
      </c>
      <c r="K122" s="81"/>
    </row>
    <row r="123" spans="1:22" ht="14.25" x14ac:dyDescent="0.2">
      <c r="A123" s="75"/>
      <c r="B123" s="76"/>
      <c r="C123" s="76" t="s">
        <v>266</v>
      </c>
      <c r="D123" s="77" t="s">
        <v>267</v>
      </c>
      <c r="E123" s="78">
        <f>Source!AT40</f>
        <v>70</v>
      </c>
      <c r="F123" s="79"/>
      <c r="G123" s="80"/>
      <c r="H123" s="78"/>
      <c r="I123" s="78"/>
      <c r="J123" s="81">
        <f>SUM(R117:R122)</f>
        <v>20943.43</v>
      </c>
      <c r="K123" s="81"/>
    </row>
    <row r="124" spans="1:22" ht="14.25" x14ac:dyDescent="0.2">
      <c r="A124" s="75"/>
      <c r="B124" s="76"/>
      <c r="C124" s="76" t="s">
        <v>268</v>
      </c>
      <c r="D124" s="77" t="s">
        <v>267</v>
      </c>
      <c r="E124" s="78">
        <f>Source!AU40</f>
        <v>10</v>
      </c>
      <c r="F124" s="79"/>
      <c r="G124" s="80"/>
      <c r="H124" s="78"/>
      <c r="I124" s="78"/>
      <c r="J124" s="81">
        <f>SUM(T117:T123)</f>
        <v>2991.92</v>
      </c>
      <c r="K124" s="81"/>
    </row>
    <row r="125" spans="1:22" ht="14.25" x14ac:dyDescent="0.2">
      <c r="A125" s="75"/>
      <c r="B125" s="76"/>
      <c r="C125" s="76" t="s">
        <v>273</v>
      </c>
      <c r="D125" s="77" t="s">
        <v>267</v>
      </c>
      <c r="E125" s="78">
        <f>108</f>
        <v>108</v>
      </c>
      <c r="F125" s="79"/>
      <c r="G125" s="80"/>
      <c r="H125" s="78"/>
      <c r="I125" s="78"/>
      <c r="J125" s="81">
        <f>SUM(V117:V124)</f>
        <v>281.74</v>
      </c>
      <c r="K125" s="81"/>
    </row>
    <row r="126" spans="1:22" ht="14.25" x14ac:dyDescent="0.2">
      <c r="A126" s="75"/>
      <c r="B126" s="76"/>
      <c r="C126" s="76" t="s">
        <v>269</v>
      </c>
      <c r="D126" s="77" t="s">
        <v>270</v>
      </c>
      <c r="E126" s="78">
        <f>Source!AQ40</f>
        <v>95.49</v>
      </c>
      <c r="F126" s="79"/>
      <c r="G126" s="80" t="str">
        <f>Source!DI40</f>
        <v/>
      </c>
      <c r="H126" s="78">
        <f>Source!AV40</f>
        <v>1</v>
      </c>
      <c r="I126" s="78"/>
      <c r="J126" s="81"/>
      <c r="K126" s="81">
        <f>Source!U40</f>
        <v>150.8742</v>
      </c>
    </row>
    <row r="127" spans="1:22" ht="15" x14ac:dyDescent="0.25">
      <c r="A127" s="85"/>
      <c r="B127" s="85"/>
      <c r="C127" s="85"/>
      <c r="D127" s="85"/>
      <c r="E127" s="85"/>
      <c r="F127" s="85"/>
      <c r="G127" s="85"/>
      <c r="H127" s="85"/>
      <c r="I127" s="86">
        <f>J119+J120+J122+J123+J124+J125</f>
        <v>141860.6</v>
      </c>
      <c r="J127" s="86"/>
      <c r="K127" s="87">
        <f>IF(Source!I40&lt;&gt;0, ROUND(I127/Source!I40, 2), 0)</f>
        <v>89785.19</v>
      </c>
      <c r="P127" s="27">
        <f>I127</f>
        <v>141860.6</v>
      </c>
    </row>
    <row r="129" spans="1:32" ht="15" x14ac:dyDescent="0.25">
      <c r="A129" s="68" t="str">
        <f>CONCATENATE("Итого по разделу: ",IF(Source!G42&lt;&gt;"Новый раздел", Source!G42, ""))</f>
        <v>Итого по разделу: Спортзал.</v>
      </c>
      <c r="B129" s="68"/>
      <c r="C129" s="68"/>
      <c r="D129" s="68"/>
      <c r="E129" s="68"/>
      <c r="F129" s="68"/>
      <c r="G129" s="68"/>
      <c r="H129" s="68"/>
      <c r="I129" s="66">
        <f>SUM(P34:P128)</f>
        <v>219248.26</v>
      </c>
      <c r="J129" s="67"/>
      <c r="K129" s="33"/>
    </row>
    <row r="132" spans="1:32" ht="15" x14ac:dyDescent="0.25">
      <c r="A132" s="68" t="str">
        <f>CONCATENATE("Итого по локальной смете: ",IF(Source!G71&lt;&gt;"Новая локальная смета", Source!G71, ""))</f>
        <v xml:space="preserve">Итого по локальной смете: </v>
      </c>
      <c r="B132" s="68"/>
      <c r="C132" s="68"/>
      <c r="D132" s="68"/>
      <c r="E132" s="68"/>
      <c r="F132" s="68"/>
      <c r="G132" s="68"/>
      <c r="H132" s="68"/>
      <c r="I132" s="66">
        <f>SUM(P32:P131)</f>
        <v>219248.26</v>
      </c>
      <c r="J132" s="67"/>
      <c r="K132" s="33"/>
    </row>
    <row r="135" spans="1:32" ht="15" x14ac:dyDescent="0.25">
      <c r="A135" s="68" t="str">
        <f>CONCATENATE("Итого по смете: ",IF(Source!G100&lt;&gt;"Новый объект", Source!G100, ""))</f>
        <v>Итого по смете: Текущий ремонт в ГБОУ Школа №1297 по адресу: Глинистый пер., 7 с 1,2._(Копия)</v>
      </c>
      <c r="B135" s="68"/>
      <c r="C135" s="68"/>
      <c r="D135" s="68"/>
      <c r="E135" s="68"/>
      <c r="F135" s="68"/>
      <c r="G135" s="68"/>
      <c r="H135" s="68"/>
      <c r="I135" s="66">
        <f>SUM(P1:P134)</f>
        <v>219248.26</v>
      </c>
      <c r="J135" s="67"/>
      <c r="K135" s="33"/>
      <c r="AF135" s="34" t="str">
        <f>CONCATENATE("Итого по смете: ",IF(Source!G100&lt;&gt;"Новый объект", Source!G100, ""))</f>
        <v>Итого по смете: Текущий ремонт в ГБОУ Школа №1297 по адресу: Глинистый пер., 7 с 1,2._(Копия)</v>
      </c>
    </row>
    <row r="136" spans="1:32" ht="14.25" x14ac:dyDescent="0.2">
      <c r="C136" s="60" t="str">
        <f>Source!H128</f>
        <v>Итого</v>
      </c>
      <c r="D136" s="60"/>
      <c r="E136" s="60"/>
      <c r="F136" s="60"/>
      <c r="G136" s="60"/>
      <c r="H136" s="60"/>
      <c r="I136" s="61">
        <f>IF(Source!F128=0, "", Source!F128)</f>
        <v>219248.26</v>
      </c>
      <c r="J136" s="61"/>
    </row>
    <row r="137" spans="1:32" ht="14.25" x14ac:dyDescent="0.2">
      <c r="C137" s="60" t="str">
        <f>Source!H129</f>
        <v>НДС 18%</v>
      </c>
      <c r="D137" s="60"/>
      <c r="E137" s="60"/>
      <c r="F137" s="60"/>
      <c r="G137" s="60"/>
      <c r="H137" s="60"/>
      <c r="I137" s="61">
        <f>IF(Source!F129=0, "", Source!F129)</f>
        <v>39464.69</v>
      </c>
      <c r="J137" s="61"/>
    </row>
    <row r="138" spans="1:32" ht="14.25" x14ac:dyDescent="0.2">
      <c r="C138" s="60" t="str">
        <f>Source!H130</f>
        <v>Всего</v>
      </c>
      <c r="D138" s="60"/>
      <c r="E138" s="60"/>
      <c r="F138" s="60"/>
      <c r="G138" s="60"/>
      <c r="H138" s="60"/>
      <c r="I138" s="61">
        <f>IF(Source!F130=0, "", Source!F130)</f>
        <v>258712.95</v>
      </c>
      <c r="J138" s="61"/>
    </row>
    <row r="139" spans="1:32" x14ac:dyDescent="0.2">
      <c r="C139" t="s">
        <v>287</v>
      </c>
    </row>
    <row r="141" spans="1:32" ht="14.25" x14ac:dyDescent="0.2">
      <c r="A141" s="70" t="s">
        <v>274</v>
      </c>
      <c r="B141" s="70"/>
      <c r="C141" s="35" t="str">
        <f>IF(Source!AC12&lt;&gt;"", Source!AC12," ")</f>
        <v xml:space="preserve"> </v>
      </c>
      <c r="D141" s="35"/>
      <c r="E141" s="35"/>
      <c r="F141" s="35"/>
      <c r="G141" s="35"/>
      <c r="H141" s="10" t="str">
        <f>IF(Source!AB12&lt;&gt;"", Source!AB12," ")</f>
        <v xml:space="preserve"> </v>
      </c>
      <c r="I141" s="10"/>
      <c r="J141" s="10"/>
      <c r="K141" s="10"/>
    </row>
    <row r="142" spans="1:32" ht="14.25" x14ac:dyDescent="0.2">
      <c r="A142" s="10"/>
      <c r="B142" s="10"/>
      <c r="C142" s="69" t="s">
        <v>275</v>
      </c>
      <c r="D142" s="69"/>
      <c r="E142" s="69"/>
      <c r="F142" s="69"/>
      <c r="G142" s="69"/>
      <c r="H142" s="10"/>
      <c r="I142" s="10"/>
      <c r="J142" s="10"/>
      <c r="K142" s="10"/>
    </row>
    <row r="143" spans="1:32" ht="14.25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32" ht="14.25" x14ac:dyDescent="0.2">
      <c r="A144" s="70" t="s">
        <v>276</v>
      </c>
      <c r="B144" s="70"/>
      <c r="C144" s="35" t="str">
        <f>IF(Source!AE12&lt;&gt;"", Source!AE12," ")</f>
        <v xml:space="preserve"> </v>
      </c>
      <c r="D144" s="35"/>
      <c r="E144" s="35"/>
      <c r="F144" s="35"/>
      <c r="G144" s="35"/>
      <c r="H144" s="10" t="str">
        <f>IF(Source!AD12&lt;&gt;"", Source!AD12," ")</f>
        <v xml:space="preserve"> </v>
      </c>
      <c r="I144" s="10"/>
      <c r="J144" s="10"/>
      <c r="K144" s="10"/>
    </row>
    <row r="145" spans="1:11" ht="14.25" x14ac:dyDescent="0.2">
      <c r="A145" s="10"/>
      <c r="B145" s="10"/>
      <c r="C145" s="69" t="s">
        <v>275</v>
      </c>
      <c r="D145" s="69"/>
      <c r="E145" s="69"/>
      <c r="F145" s="69"/>
      <c r="G145" s="69"/>
      <c r="H145" s="10"/>
      <c r="I145" s="10"/>
      <c r="J145" s="10"/>
      <c r="K145" s="10"/>
    </row>
  </sheetData>
  <mergeCells count="68">
    <mergeCell ref="C145:G145"/>
    <mergeCell ref="I135:J135"/>
    <mergeCell ref="A135:H135"/>
    <mergeCell ref="C136:H136"/>
    <mergeCell ref="I136:J136"/>
    <mergeCell ref="C137:H137"/>
    <mergeCell ref="I137:J137"/>
    <mergeCell ref="C138:H138"/>
    <mergeCell ref="I138:J138"/>
    <mergeCell ref="A141:B141"/>
    <mergeCell ref="C142:G142"/>
    <mergeCell ref="A144:B144"/>
    <mergeCell ref="I116:J116"/>
    <mergeCell ref="I127:J127"/>
    <mergeCell ref="I129:J129"/>
    <mergeCell ref="A129:H129"/>
    <mergeCell ref="I132:J132"/>
    <mergeCell ref="A132:H132"/>
    <mergeCell ref="I104:J104"/>
    <mergeCell ref="I27:I29"/>
    <mergeCell ref="J27:J29"/>
    <mergeCell ref="A32:K32"/>
    <mergeCell ref="A34:K34"/>
    <mergeCell ref="I42:J42"/>
    <mergeCell ref="I50:J50"/>
    <mergeCell ref="I58:J58"/>
    <mergeCell ref="I66:J66"/>
    <mergeCell ref="I76:J76"/>
    <mergeCell ref="I86:J86"/>
    <mergeCell ref="I94:J94"/>
    <mergeCell ref="A27:A29"/>
    <mergeCell ref="F77:G77"/>
    <mergeCell ref="F87:G87"/>
    <mergeCell ref="F67:G67"/>
    <mergeCell ref="F24:H24"/>
    <mergeCell ref="I24:J24"/>
    <mergeCell ref="F25:H25"/>
    <mergeCell ref="I25:J25"/>
    <mergeCell ref="B27:B29"/>
    <mergeCell ref="C27:C29"/>
    <mergeCell ref="D27:D29"/>
    <mergeCell ref="E27:E29"/>
    <mergeCell ref="F27:F29"/>
    <mergeCell ref="G27:G29"/>
    <mergeCell ref="H27:H29"/>
    <mergeCell ref="F22:H22"/>
    <mergeCell ref="I22:J22"/>
    <mergeCell ref="F21:H21"/>
    <mergeCell ref="I21:J21"/>
    <mergeCell ref="I23:J23"/>
    <mergeCell ref="F23:H23"/>
    <mergeCell ref="J2:K2"/>
    <mergeCell ref="A10:K10"/>
    <mergeCell ref="A11:K11"/>
    <mergeCell ref="A18:K18"/>
    <mergeCell ref="F20:H20"/>
    <mergeCell ref="I20:J20"/>
    <mergeCell ref="A15:K15"/>
    <mergeCell ref="A16:K16"/>
    <mergeCell ref="A13:K13"/>
    <mergeCell ref="B3:E3"/>
    <mergeCell ref="G3:K3"/>
    <mergeCell ref="B4:E4"/>
    <mergeCell ref="G4:K4"/>
    <mergeCell ref="B6:E6"/>
    <mergeCell ref="G6:K6"/>
    <mergeCell ref="B7:E7"/>
    <mergeCell ref="G7:K7"/>
  </mergeCells>
  <pageMargins left="0.4" right="0.2" top="0.2" bottom="0.4" header="0.2" footer="0.2"/>
  <pageSetup paperSize="9" scale="65" fitToHeight="0" orientation="portrait" horizontalDpi="4294967293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</cols>
  <sheetData>
    <row r="1" spans="1:5" x14ac:dyDescent="0.2">
      <c r="A1" s="8" t="str">
        <f>Source!B1</f>
        <v>Smeta.RU  (495) 974-1589</v>
      </c>
    </row>
    <row r="2" spans="1:5" ht="14.25" x14ac:dyDescent="0.2">
      <c r="B2" s="10"/>
      <c r="C2" s="10"/>
      <c r="D2" s="10"/>
    </row>
    <row r="3" spans="1:5" ht="15" x14ac:dyDescent="0.25">
      <c r="B3" s="36" t="s">
        <v>237</v>
      </c>
      <c r="C3" s="10"/>
      <c r="D3" s="28" t="s">
        <v>238</v>
      </c>
    </row>
    <row r="4" spans="1:5" ht="15" x14ac:dyDescent="0.25">
      <c r="B4" s="10"/>
      <c r="C4" s="28"/>
      <c r="D4" s="28"/>
    </row>
    <row r="5" spans="1:5" ht="15" x14ac:dyDescent="0.25">
      <c r="B5" s="36" t="s">
        <v>277</v>
      </c>
      <c r="C5" s="72" t="s">
        <v>277</v>
      </c>
      <c r="D5" s="72"/>
    </row>
    <row r="6" spans="1:5" ht="15" x14ac:dyDescent="0.25">
      <c r="B6" s="10"/>
      <c r="C6" s="37"/>
      <c r="D6" s="37"/>
    </row>
    <row r="7" spans="1:5" ht="15" x14ac:dyDescent="0.25">
      <c r="B7" s="36" t="s">
        <v>277</v>
      </c>
      <c r="C7" s="72" t="s">
        <v>277</v>
      </c>
      <c r="D7" s="72"/>
    </row>
    <row r="8" spans="1:5" ht="15" x14ac:dyDescent="0.25">
      <c r="B8" s="10"/>
      <c r="C8" s="37"/>
      <c r="D8" s="37"/>
    </row>
    <row r="9" spans="1:5" ht="15" x14ac:dyDescent="0.25">
      <c r="C9" s="28" t="s">
        <v>278</v>
      </c>
      <c r="D9" s="10"/>
    </row>
    <row r="10" spans="1:5" ht="14.25" x14ac:dyDescent="0.2">
      <c r="A10" s="10"/>
      <c r="B10" s="10"/>
      <c r="C10" s="10"/>
      <c r="D10" s="10"/>
      <c r="E10" s="10"/>
    </row>
    <row r="11" spans="1:5" ht="15.75" x14ac:dyDescent="0.25">
      <c r="A11" s="73" t="str">
        <f>CONCATENATE("Дефектный акт ", IF(Source!AN15&lt;&gt;"", Source!AN15," "))</f>
        <v xml:space="preserve">Дефектный акт  </v>
      </c>
      <c r="B11" s="73"/>
      <c r="C11" s="73"/>
      <c r="D11" s="73"/>
      <c r="E11" s="10"/>
    </row>
    <row r="12" spans="1:5" ht="15" x14ac:dyDescent="0.25">
      <c r="A12" s="74" t="str">
        <f>CONCATENATE("На капитальный ремонт ", Source!F12)</f>
        <v>На капитальный ремонт Новый объект_(Копия)</v>
      </c>
      <c r="B12" s="74"/>
      <c r="C12" s="74"/>
      <c r="D12" s="74"/>
      <c r="E12" s="10"/>
    </row>
    <row r="13" spans="1:5" ht="14.25" x14ac:dyDescent="0.2">
      <c r="A13" s="10"/>
      <c r="B13" s="10"/>
      <c r="C13" s="10"/>
      <c r="D13" s="10"/>
      <c r="E13" s="10"/>
    </row>
    <row r="14" spans="1:5" ht="15" x14ac:dyDescent="0.2">
      <c r="A14" s="10"/>
      <c r="B14" s="38" t="s">
        <v>279</v>
      </c>
      <c r="C14" s="10"/>
      <c r="D14" s="10"/>
      <c r="E14" s="10"/>
    </row>
    <row r="15" spans="1:5" ht="15" x14ac:dyDescent="0.2">
      <c r="A15" s="10"/>
      <c r="B15" s="38" t="s">
        <v>280</v>
      </c>
      <c r="C15" s="10"/>
      <c r="D15" s="10"/>
      <c r="E15" s="10"/>
    </row>
    <row r="16" spans="1:5" ht="15" x14ac:dyDescent="0.2">
      <c r="A16" s="10"/>
      <c r="B16" s="38" t="s">
        <v>281</v>
      </c>
      <c r="C16" s="10"/>
      <c r="D16" s="10"/>
      <c r="E16" s="10"/>
    </row>
    <row r="17" spans="1:5" ht="28.5" x14ac:dyDescent="0.2">
      <c r="A17" s="19" t="s">
        <v>282</v>
      </c>
      <c r="B17" s="19" t="s">
        <v>252</v>
      </c>
      <c r="C17" s="19" t="s">
        <v>253</v>
      </c>
      <c r="D17" s="19" t="s">
        <v>283</v>
      </c>
      <c r="E17" s="39" t="s">
        <v>284</v>
      </c>
    </row>
    <row r="18" spans="1:5" ht="14.25" x14ac:dyDescent="0.2">
      <c r="A18" s="40">
        <v>1</v>
      </c>
      <c r="B18" s="40">
        <v>2</v>
      </c>
      <c r="C18" s="40">
        <v>3</v>
      </c>
      <c r="D18" s="40">
        <v>4</v>
      </c>
      <c r="E18" s="41">
        <v>5</v>
      </c>
    </row>
    <row r="19" spans="1:5" ht="16.5" x14ac:dyDescent="0.25">
      <c r="A19" s="71" t="str">
        <f>CONCATENATE("Локальная смета: ", Source!G20)</f>
        <v>Локальная смета: Новая локальная смета</v>
      </c>
      <c r="B19" s="71"/>
      <c r="C19" s="71"/>
      <c r="D19" s="71"/>
      <c r="E19" s="71"/>
    </row>
    <row r="20" spans="1:5" ht="16.5" x14ac:dyDescent="0.25">
      <c r="A20" s="71" t="str">
        <f>CONCATENATE("Раздел: ", Source!G24)</f>
        <v>Раздел: Спортзал.</v>
      </c>
      <c r="B20" s="71"/>
      <c r="C20" s="71"/>
      <c r="D20" s="71"/>
      <c r="E20" s="71"/>
    </row>
    <row r="21" spans="1:5" ht="42.75" x14ac:dyDescent="0.2">
      <c r="A21" s="46" t="str">
        <f>Source!E28</f>
        <v>1</v>
      </c>
      <c r="B21" s="47" t="str">
        <f>Source!G28</f>
        <v>Окрашивание ранее окрашенных поверхностей стен водоэмульсионными поливинилацетатными составами, ранее окрашенных водоэмульсионной краской с расчисткой старой краски до 35%</v>
      </c>
      <c r="C21" s="48" t="str">
        <f>Source!H28</f>
        <v>100 м2</v>
      </c>
      <c r="D21" s="49">
        <f>Source!I28</f>
        <v>2.2999999999999998</v>
      </c>
      <c r="E21" s="46"/>
    </row>
    <row r="22" spans="1:5" ht="28.5" x14ac:dyDescent="0.2">
      <c r="A22" s="46" t="str">
        <f>Source!E29</f>
        <v>2</v>
      </c>
      <c r="B22" s="47" t="str">
        <f>Source!G29</f>
        <v>Окраска масляными составами за два раза ранее окрашенных металлических поверхностей радиаторов и ребристых труб</v>
      </c>
      <c r="C22" s="48" t="str">
        <f>Source!H29</f>
        <v>100 м2</v>
      </c>
      <c r="D22" s="49">
        <f>Source!I29</f>
        <v>4.2099999999999999E-2</v>
      </c>
      <c r="E22" s="46"/>
    </row>
    <row r="23" spans="1:5" ht="28.5" x14ac:dyDescent="0.2">
      <c r="A23" s="46" t="str">
        <f>Source!E30</f>
        <v>3</v>
      </c>
      <c r="B23" s="47" t="str">
        <f>Source!G30</f>
        <v>Окраска масляными составами за два раза ранее окрашенных металлических поверхностей стальных труб</v>
      </c>
      <c r="C23" s="48" t="str">
        <f>Source!H30</f>
        <v>100 м2</v>
      </c>
      <c r="D23" s="49">
        <f>Source!I30</f>
        <v>0.12479999999999999</v>
      </c>
      <c r="E23" s="46"/>
    </row>
    <row r="24" spans="1:5" ht="42.75" x14ac:dyDescent="0.2">
      <c r="A24" s="46" t="str">
        <f>Source!E31</f>
        <v>4</v>
      </c>
      <c r="B24" s="47" t="str">
        <f>Source!G31</f>
        <v>Улучшенная масляная окраска деревянных поверхностей дверей и профилированных облицовок с частичной предварительной расчисткой до 10% (краски масляные жидкотертые цветные марка МА-15)</v>
      </c>
      <c r="C24" s="48" t="str">
        <f>Source!H31</f>
        <v>10 м2</v>
      </c>
      <c r="D24" s="49">
        <f>Source!I31</f>
        <v>0.88</v>
      </c>
      <c r="E24" s="46"/>
    </row>
    <row r="25" spans="1:5" ht="14.25" x14ac:dyDescent="0.2">
      <c r="A25" s="46" t="str">
        <f>Source!E32</f>
        <v>5</v>
      </c>
      <c r="B25" s="47" t="str">
        <f>Source!G32</f>
        <v>Изготовление декоративного деревянного экрана на регистры отопления</v>
      </c>
      <c r="C25" s="48" t="str">
        <f>Source!H32</f>
        <v>м2</v>
      </c>
      <c r="D25" s="49">
        <f>Source!I32</f>
        <v>27.8</v>
      </c>
      <c r="E25" s="46"/>
    </row>
    <row r="26" spans="1:5" ht="14.25" x14ac:dyDescent="0.2">
      <c r="A26" s="46" t="str">
        <f>Source!E33</f>
        <v>6</v>
      </c>
      <c r="B26" s="47" t="str">
        <f>Source!G33</f>
        <v>Установка декоративного деревянного экрана на регистры отопления</v>
      </c>
      <c r="C26" s="48" t="str">
        <f>Source!H33</f>
        <v>м2</v>
      </c>
      <c r="D26" s="49">
        <f>Source!I33</f>
        <v>27.8</v>
      </c>
      <c r="E26" s="46"/>
    </row>
    <row r="27" spans="1:5" ht="28.5" x14ac:dyDescent="0.2">
      <c r="A27" s="46" t="str">
        <f>Source!E34</f>
        <v>7</v>
      </c>
      <c r="B27" s="47" t="str">
        <f>Source!G34</f>
        <v>Улучшенная окраска стен колером масляным разбеленным по дереву/деревянный экран</v>
      </c>
      <c r="C27" s="48" t="str">
        <f>Source!H34</f>
        <v>100 м2</v>
      </c>
      <c r="D27" s="49">
        <f>Source!I34</f>
        <v>0.27800000000000002</v>
      </c>
      <c r="E27" s="46"/>
    </row>
    <row r="28" spans="1:5" ht="28.5" x14ac:dyDescent="0.2">
      <c r="A28" s="46" t="str">
        <f>Source!E35</f>
        <v>8</v>
      </c>
      <c r="B28" s="47" t="str">
        <f>Source!G35</f>
        <v>Обделка выступающих углов стен наличниками из хвойных пород по дереву (без окраски)</v>
      </c>
      <c r="C28" s="48" t="str">
        <f>Source!H35</f>
        <v>100 м</v>
      </c>
      <c r="D28" s="49">
        <f>Source!I35</f>
        <v>0.18</v>
      </c>
      <c r="E28" s="46"/>
    </row>
    <row r="29" spans="1:5" ht="14.25" x14ac:dyDescent="0.2">
      <c r="A29" s="46" t="str">
        <f>Source!E36</f>
        <v>8,1</v>
      </c>
      <c r="B29" s="47" t="str">
        <f>Source!G36</f>
        <v>Наличники хвойных пород, проолифленные, сечение 74х13 мм</v>
      </c>
      <c r="C29" s="48" t="str">
        <f>Source!H36</f>
        <v>м</v>
      </c>
      <c r="D29" s="49">
        <f>Source!I36</f>
        <v>-40.32</v>
      </c>
      <c r="E29" s="46"/>
    </row>
    <row r="30" spans="1:5" ht="14.25" x14ac:dyDescent="0.2">
      <c r="A30" s="46" t="str">
        <f>Source!E37</f>
        <v>8,2</v>
      </c>
      <c r="B30" s="47" t="str">
        <f>Source!G37</f>
        <v>Наличники хвойных пород, окрашенные, сечение 54х13 мм</v>
      </c>
      <c r="C30" s="48" t="str">
        <f>Source!H37</f>
        <v>м</v>
      </c>
      <c r="D30" s="49">
        <f>Source!I37</f>
        <v>40.32</v>
      </c>
      <c r="E30" s="46"/>
    </row>
    <row r="31" spans="1:5" ht="14.25" x14ac:dyDescent="0.2">
      <c r="A31" s="46" t="str">
        <f>Source!E38</f>
        <v>9</v>
      </c>
      <c r="B31" s="47" t="str">
        <f>Source!G38</f>
        <v>Устройство покрытий дощатых толщиной, мм 36</v>
      </c>
      <c r="C31" s="48" t="str">
        <f>Source!H38</f>
        <v>100 м2</v>
      </c>
      <c r="D31" s="49">
        <f>Source!I38</f>
        <v>0.4</v>
      </c>
      <c r="E31" s="46"/>
    </row>
    <row r="32" spans="1:5" ht="28.5" x14ac:dyDescent="0.2">
      <c r="A32" s="46" t="str">
        <f>Source!E39</f>
        <v>9,1</v>
      </c>
      <c r="B32" s="47" t="str">
        <f>Source!G39</f>
        <v>Доски хвойных пород для покрытия пола, со шпунтом и гребнем, антисептированные, толщина 36 мм</v>
      </c>
      <c r="C32" s="48" t="str">
        <f>Source!H39</f>
        <v>м3</v>
      </c>
      <c r="D32" s="49">
        <f>Source!I39</f>
        <v>-1.484</v>
      </c>
      <c r="E32" s="46"/>
    </row>
    <row r="33" spans="1:5" ht="14.25" x14ac:dyDescent="0.2">
      <c r="A33" s="42" t="str">
        <f>Source!E40</f>
        <v>10</v>
      </c>
      <c r="B33" s="43" t="str">
        <f>Source!G40</f>
        <v>Устройство тепло - и звукоизоляции пола из фанеры толщиной 10 мм</v>
      </c>
      <c r="C33" s="44" t="str">
        <f>Source!H40</f>
        <v>100 м2</v>
      </c>
      <c r="D33" s="45">
        <f>Source!I40</f>
        <v>1.58</v>
      </c>
      <c r="E33" s="42"/>
    </row>
    <row r="36" spans="1:5" ht="15" x14ac:dyDescent="0.25">
      <c r="A36" s="33" t="s">
        <v>285</v>
      </c>
      <c r="B36" s="33"/>
      <c r="C36" s="33" t="s">
        <v>286</v>
      </c>
      <c r="D36" s="33"/>
      <c r="E36" s="33"/>
    </row>
  </sheetData>
  <mergeCells count="6">
    <mergeCell ref="A20:E20"/>
    <mergeCell ref="C5:D5"/>
    <mergeCell ref="C7:D7"/>
    <mergeCell ref="A11:D11"/>
    <mergeCell ref="A12:D12"/>
    <mergeCell ref="A19:E19"/>
  </mergeCells>
  <pageMargins left="0.4" right="0.2" top="0.2" bottom="0.4" header="0.2" footer="0.2"/>
  <pageSetup paperSize="9" scale="77" fitToHeight="0" orientation="portrait" horizontalDpi="4294967293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39"/>
  <sheetViews>
    <sheetView workbookViewId="0">
      <selection activeCell="A135" sqref="A135:O13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33406</v>
      </c>
      <c r="M1">
        <v>10</v>
      </c>
      <c r="N1">
        <v>10</v>
      </c>
      <c r="O1">
        <v>1</v>
      </c>
      <c r="P1">
        <v>0</v>
      </c>
      <c r="Q1">
        <v>5</v>
      </c>
    </row>
    <row r="12" spans="1:133" x14ac:dyDescent="0.2">
      <c r="A12" s="1">
        <v>1</v>
      </c>
      <c r="B12" s="1">
        <v>135</v>
      </c>
      <c r="C12" s="1">
        <v>0</v>
      </c>
      <c r="D12" s="1">
        <f>ROW(A100)</f>
        <v>100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3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2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B100</f>
        <v>135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объект_(Копия)</v>
      </c>
      <c r="G18" s="2" t="str">
        <f t="shared" si="0"/>
        <v>Текущий ремонт в ГБОУ Школа №1297 по адресу: Глинистый пер., 7 с 1,2._(Копия)</v>
      </c>
      <c r="H18" s="2"/>
      <c r="I18" s="2"/>
      <c r="J18" s="2"/>
      <c r="K18" s="2"/>
      <c r="L18" s="2"/>
      <c r="M18" s="2"/>
      <c r="N18" s="2"/>
      <c r="O18" s="2">
        <f t="shared" ref="O18:AT18" si="1">O100</f>
        <v>169507.84</v>
      </c>
      <c r="P18" s="2">
        <f t="shared" si="1"/>
        <v>106819.97</v>
      </c>
      <c r="Q18" s="2">
        <f t="shared" si="1"/>
        <v>1462.1</v>
      </c>
      <c r="R18" s="2">
        <f t="shared" si="1"/>
        <v>703.52</v>
      </c>
      <c r="S18" s="2">
        <f t="shared" si="1"/>
        <v>61225.77</v>
      </c>
      <c r="T18" s="2">
        <f t="shared" si="1"/>
        <v>0</v>
      </c>
      <c r="U18" s="2">
        <f t="shared" si="1"/>
        <v>310.19205999999997</v>
      </c>
      <c r="V18" s="2">
        <f t="shared" si="1"/>
        <v>0</v>
      </c>
      <c r="W18" s="2">
        <f t="shared" si="1"/>
        <v>0</v>
      </c>
      <c r="X18" s="2">
        <f t="shared" si="1"/>
        <v>42858.03</v>
      </c>
      <c r="Y18" s="2">
        <f t="shared" si="1"/>
        <v>6122.59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219248.26</v>
      </c>
      <c r="AS18" s="2">
        <f t="shared" si="1"/>
        <v>0</v>
      </c>
      <c r="AT18" s="2">
        <f t="shared" si="1"/>
        <v>0</v>
      </c>
      <c r="AU18" s="2">
        <f t="shared" ref="AU18:BZ18" si="2">AU100</f>
        <v>219248.26</v>
      </c>
      <c r="AV18" s="2">
        <f t="shared" si="2"/>
        <v>106819.97</v>
      </c>
      <c r="AW18" s="2">
        <f t="shared" si="2"/>
        <v>106819.97</v>
      </c>
      <c r="AX18" s="2">
        <f t="shared" si="2"/>
        <v>0</v>
      </c>
      <c r="AY18" s="2">
        <f t="shared" si="2"/>
        <v>106819.97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CA100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DG100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EM100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FS100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ROW(A71)</f>
        <v>71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B71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O71</f>
        <v>169507.84</v>
      </c>
      <c r="P22" s="2">
        <f t="shared" si="8"/>
        <v>106819.97</v>
      </c>
      <c r="Q22" s="2">
        <f t="shared" si="8"/>
        <v>1462.1</v>
      </c>
      <c r="R22" s="2">
        <f t="shared" si="8"/>
        <v>703.52</v>
      </c>
      <c r="S22" s="2">
        <f t="shared" si="8"/>
        <v>61225.77</v>
      </c>
      <c r="T22" s="2">
        <f t="shared" si="8"/>
        <v>0</v>
      </c>
      <c r="U22" s="2">
        <f t="shared" si="8"/>
        <v>310.19205999999997</v>
      </c>
      <c r="V22" s="2">
        <f t="shared" si="8"/>
        <v>0</v>
      </c>
      <c r="W22" s="2">
        <f t="shared" si="8"/>
        <v>0</v>
      </c>
      <c r="X22" s="2">
        <f t="shared" si="8"/>
        <v>42858.03</v>
      </c>
      <c r="Y22" s="2">
        <f t="shared" si="8"/>
        <v>6122.59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219248.26</v>
      </c>
      <c r="AS22" s="2">
        <f t="shared" si="8"/>
        <v>0</v>
      </c>
      <c r="AT22" s="2">
        <f t="shared" si="8"/>
        <v>0</v>
      </c>
      <c r="AU22" s="2">
        <f t="shared" ref="AU22:BZ22" si="9">AU71</f>
        <v>219248.26</v>
      </c>
      <c r="AV22" s="2">
        <f t="shared" si="9"/>
        <v>106819.97</v>
      </c>
      <c r="AW22" s="2">
        <f t="shared" si="9"/>
        <v>106819.97</v>
      </c>
      <c r="AX22" s="2">
        <f t="shared" si="9"/>
        <v>0</v>
      </c>
      <c r="AY22" s="2">
        <f t="shared" si="9"/>
        <v>106819.97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CA71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DG71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EM71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FS71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ROW(A42)</f>
        <v>42</v>
      </c>
      <c r="E24" s="1"/>
      <c r="F24" s="1" t="s">
        <v>12</v>
      </c>
      <c r="G24" s="1" t="s">
        <v>13</v>
      </c>
      <c r="H24" s="1" t="s">
        <v>3</v>
      </c>
      <c r="I24" s="1">
        <v>0</v>
      </c>
      <c r="J24" s="1"/>
      <c r="K24" s="1">
        <v>-1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B42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Спортзал.</v>
      </c>
      <c r="H26" s="2"/>
      <c r="I26" s="2"/>
      <c r="J26" s="2"/>
      <c r="K26" s="2"/>
      <c r="L26" s="2"/>
      <c r="M26" s="2"/>
      <c r="N26" s="2"/>
      <c r="O26" s="2">
        <f t="shared" ref="O26:AT26" si="15">O42</f>
        <v>169507.84</v>
      </c>
      <c r="P26" s="2">
        <f t="shared" si="15"/>
        <v>106819.97</v>
      </c>
      <c r="Q26" s="2">
        <f t="shared" si="15"/>
        <v>1462.1</v>
      </c>
      <c r="R26" s="2">
        <f t="shared" si="15"/>
        <v>703.52</v>
      </c>
      <c r="S26" s="2">
        <f t="shared" si="15"/>
        <v>61225.77</v>
      </c>
      <c r="T26" s="2">
        <f t="shared" si="15"/>
        <v>0</v>
      </c>
      <c r="U26" s="2">
        <f t="shared" si="15"/>
        <v>310.19205999999997</v>
      </c>
      <c r="V26" s="2">
        <f t="shared" si="15"/>
        <v>0</v>
      </c>
      <c r="W26" s="2">
        <f t="shared" si="15"/>
        <v>0</v>
      </c>
      <c r="X26" s="2">
        <f t="shared" si="15"/>
        <v>42858.03</v>
      </c>
      <c r="Y26" s="2">
        <f t="shared" si="15"/>
        <v>6122.59</v>
      </c>
      <c r="Z26" s="2">
        <f t="shared" si="15"/>
        <v>0</v>
      </c>
      <c r="AA26" s="2">
        <f t="shared" si="15"/>
        <v>0</v>
      </c>
      <c r="AB26" s="2">
        <f t="shared" si="15"/>
        <v>169507.84</v>
      </c>
      <c r="AC26" s="2">
        <f t="shared" si="15"/>
        <v>106819.97</v>
      </c>
      <c r="AD26" s="2">
        <f t="shared" si="15"/>
        <v>1462.1</v>
      </c>
      <c r="AE26" s="2">
        <f t="shared" si="15"/>
        <v>703.52</v>
      </c>
      <c r="AF26" s="2">
        <f t="shared" si="15"/>
        <v>61225.77</v>
      </c>
      <c r="AG26" s="2">
        <f t="shared" si="15"/>
        <v>0</v>
      </c>
      <c r="AH26" s="2">
        <f t="shared" si="15"/>
        <v>310.19205999999997</v>
      </c>
      <c r="AI26" s="2">
        <f t="shared" si="15"/>
        <v>0</v>
      </c>
      <c r="AJ26" s="2">
        <f t="shared" si="15"/>
        <v>0</v>
      </c>
      <c r="AK26" s="2">
        <f t="shared" si="15"/>
        <v>42858.03</v>
      </c>
      <c r="AL26" s="2">
        <f t="shared" si="15"/>
        <v>6122.59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219248.26</v>
      </c>
      <c r="AS26" s="2">
        <f t="shared" si="15"/>
        <v>0</v>
      </c>
      <c r="AT26" s="2">
        <f t="shared" si="15"/>
        <v>0</v>
      </c>
      <c r="AU26" s="2">
        <f t="shared" ref="AU26:BZ26" si="16">AU42</f>
        <v>219248.26</v>
      </c>
      <c r="AV26" s="2">
        <f t="shared" si="16"/>
        <v>106819.97</v>
      </c>
      <c r="AW26" s="2">
        <f t="shared" si="16"/>
        <v>106819.97</v>
      </c>
      <c r="AX26" s="2">
        <f t="shared" si="16"/>
        <v>0</v>
      </c>
      <c r="AY26" s="2">
        <f t="shared" si="16"/>
        <v>106819.97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CA42</f>
        <v>219248.26</v>
      </c>
      <c r="CB26" s="2">
        <f t="shared" si="17"/>
        <v>0</v>
      </c>
      <c r="CC26" s="2">
        <f t="shared" si="17"/>
        <v>0</v>
      </c>
      <c r="CD26" s="2">
        <f t="shared" si="17"/>
        <v>219248.26</v>
      </c>
      <c r="CE26" s="2">
        <f t="shared" si="17"/>
        <v>106819.97</v>
      </c>
      <c r="CF26" s="2">
        <f t="shared" si="17"/>
        <v>106819.97</v>
      </c>
      <c r="CG26" s="2">
        <f t="shared" si="17"/>
        <v>0</v>
      </c>
      <c r="CH26" s="2">
        <f t="shared" si="17"/>
        <v>106819.97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DG42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EM42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FS42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ROW(SmtRes!A8)</f>
        <v>8</v>
      </c>
      <c r="D28">
        <f>ROW(EtalonRes!A8)</f>
        <v>8</v>
      </c>
      <c r="E28" t="s">
        <v>14</v>
      </c>
      <c r="F28" t="s">
        <v>15</v>
      </c>
      <c r="G28" t="s">
        <v>16</v>
      </c>
      <c r="H28" t="s">
        <v>17</v>
      </c>
      <c r="I28">
        <f>ROUND(230/100,9)</f>
        <v>2.2999999999999998</v>
      </c>
      <c r="J28">
        <v>0</v>
      </c>
      <c r="O28">
        <f t="shared" ref="O28:O40" si="21">ROUND(CP28,2)</f>
        <v>23293.91</v>
      </c>
      <c r="P28">
        <f t="shared" ref="P28:P40" si="22">ROUND(CQ28*I28,2)</f>
        <v>11366.12</v>
      </c>
      <c r="Q28">
        <f t="shared" ref="Q28:Q40" si="23">ROUND(CR28*I28,2)</f>
        <v>0</v>
      </c>
      <c r="R28">
        <f t="shared" ref="R28:R40" si="24">ROUND(CS28*I28,2)</f>
        <v>0</v>
      </c>
      <c r="S28">
        <f t="shared" ref="S28:S40" si="25">ROUND(CT28*I28,2)</f>
        <v>11927.79</v>
      </c>
      <c r="T28">
        <f t="shared" ref="T28:T40" si="26">ROUND(CU28*I28,2)</f>
        <v>0</v>
      </c>
      <c r="U28">
        <f t="shared" ref="U28:U40" si="27">CV28*I28</f>
        <v>60.489999999999995</v>
      </c>
      <c r="V28">
        <f t="shared" ref="V28:V40" si="28">CW28*I28</f>
        <v>0</v>
      </c>
      <c r="W28">
        <f t="shared" ref="W28:W40" si="29">ROUND(CX28*I28,2)</f>
        <v>0</v>
      </c>
      <c r="X28">
        <f t="shared" ref="X28:X40" si="30">ROUND(CY28,2)</f>
        <v>8349.4500000000007</v>
      </c>
      <c r="Y28">
        <f t="shared" ref="Y28:Y40" si="31">ROUND(CZ28,2)</f>
        <v>1192.78</v>
      </c>
      <c r="AA28">
        <v>42387469</v>
      </c>
      <c r="AB28">
        <f t="shared" ref="AB28:AB40" si="32">ROUND((AC28+AD28+AF28),6)</f>
        <v>10127.784</v>
      </c>
      <c r="AC28">
        <f t="shared" ref="AC28:AC40" si="33">ROUND((ES28),6)</f>
        <v>4941.79</v>
      </c>
      <c r="AD28">
        <f t="shared" ref="AD28:AD40" si="34">ROUND((((ET28)-(EU28))+AE28),6)</f>
        <v>0</v>
      </c>
      <c r="AE28">
        <f t="shared" ref="AE28:AE40" si="35">ROUND((EU28),6)</f>
        <v>0</v>
      </c>
      <c r="AF28">
        <f>ROUND(((EV28*1.1)),6)</f>
        <v>5185.9939999999997</v>
      </c>
      <c r="AG28">
        <f t="shared" ref="AG28:AG40" si="36">ROUND((AP28),6)</f>
        <v>0</v>
      </c>
      <c r="AH28">
        <f t="shared" ref="AH28:AH40" si="37">(EW28)</f>
        <v>26.3</v>
      </c>
      <c r="AI28">
        <f t="shared" ref="AI28:AI40" si="38">(EX28)</f>
        <v>0</v>
      </c>
      <c r="AJ28">
        <f t="shared" ref="AJ28:AJ40" si="39">ROUND((AS28),6)</f>
        <v>0</v>
      </c>
      <c r="AK28">
        <v>9656.33</v>
      </c>
      <c r="AL28">
        <v>4941.79</v>
      </c>
      <c r="AM28">
        <v>0</v>
      </c>
      <c r="AN28">
        <v>0</v>
      </c>
      <c r="AO28">
        <v>4714.54</v>
      </c>
      <c r="AP28">
        <v>0</v>
      </c>
      <c r="AQ28">
        <v>26.3</v>
      </c>
      <c r="AR28">
        <v>0</v>
      </c>
      <c r="AS28">
        <v>0</v>
      </c>
      <c r="AT28">
        <v>70</v>
      </c>
      <c r="AU28">
        <v>10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4</v>
      </c>
      <c r="BJ28" t="s">
        <v>18</v>
      </c>
      <c r="BM28">
        <v>0</v>
      </c>
      <c r="BN28">
        <v>0</v>
      </c>
      <c r="BO28" t="s">
        <v>3</v>
      </c>
      <c r="BP28">
        <v>0</v>
      </c>
      <c r="BQ28">
        <v>1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70</v>
      </c>
      <c r="CA28">
        <v>10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40" si="40">(P28+Q28+S28)</f>
        <v>23293.910000000003</v>
      </c>
      <c r="CQ28">
        <f t="shared" ref="CQ28:CQ40" si="41">(AC28*BC28*AW28)</f>
        <v>4941.79</v>
      </c>
      <c r="CR28">
        <f t="shared" ref="CR28:CR40" si="42">((((ET28)*BB28-(EU28)*BS28)+AE28*BS28)*AV28)</f>
        <v>0</v>
      </c>
      <c r="CS28">
        <f t="shared" ref="CS28:CS40" si="43">(AE28*BS28*AV28)</f>
        <v>0</v>
      </c>
      <c r="CT28">
        <f t="shared" ref="CT28:CT40" si="44">(AF28*BA28*AV28)</f>
        <v>5185.9939999999997</v>
      </c>
      <c r="CU28">
        <f t="shared" ref="CU28:CU40" si="45">AG28</f>
        <v>0</v>
      </c>
      <c r="CV28">
        <f t="shared" ref="CV28:CV40" si="46">(AH28*AV28)</f>
        <v>26.3</v>
      </c>
      <c r="CW28">
        <f t="shared" ref="CW28:CW40" si="47">AI28</f>
        <v>0</v>
      </c>
      <c r="CX28">
        <f t="shared" ref="CX28:CX40" si="48">AJ28</f>
        <v>0</v>
      </c>
      <c r="CY28">
        <f t="shared" ref="CY28:CY40" si="49">((S28*BZ28)/100)</f>
        <v>8349.4530000000013</v>
      </c>
      <c r="CZ28">
        <f t="shared" ref="CZ28:CZ40" si="50">((S28*CA28)/100)</f>
        <v>1192.779</v>
      </c>
      <c r="DC28" t="s">
        <v>3</v>
      </c>
      <c r="DD28" t="s">
        <v>3</v>
      </c>
      <c r="DE28" t="s">
        <v>3</v>
      </c>
      <c r="DF28" t="s">
        <v>3</v>
      </c>
      <c r="DG28" t="s">
        <v>19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1005</v>
      </c>
      <c r="DV28" t="s">
        <v>17</v>
      </c>
      <c r="DW28" t="s">
        <v>17</v>
      </c>
      <c r="DX28">
        <v>100</v>
      </c>
      <c r="EE28">
        <v>42346695</v>
      </c>
      <c r="EF28">
        <v>1</v>
      </c>
      <c r="EG28" t="s">
        <v>20</v>
      </c>
      <c r="EH28">
        <v>0</v>
      </c>
      <c r="EI28" t="s">
        <v>3</v>
      </c>
      <c r="EJ28">
        <v>4</v>
      </c>
      <c r="EK28">
        <v>0</v>
      </c>
      <c r="EL28" t="s">
        <v>21</v>
      </c>
      <c r="EM28" t="s">
        <v>22</v>
      </c>
      <c r="EO28" t="s">
        <v>3</v>
      </c>
      <c r="EQ28">
        <v>0</v>
      </c>
      <c r="ER28">
        <v>9656.33</v>
      </c>
      <c r="ES28">
        <v>4941.79</v>
      </c>
      <c r="ET28">
        <v>0</v>
      </c>
      <c r="EU28">
        <v>0</v>
      </c>
      <c r="EV28">
        <v>4714.54</v>
      </c>
      <c r="EW28">
        <v>26.3</v>
      </c>
      <c r="EX28">
        <v>0</v>
      </c>
      <c r="EY28">
        <v>0</v>
      </c>
      <c r="FQ28">
        <v>0</v>
      </c>
      <c r="FR28">
        <f t="shared" ref="FR28:FR40" si="51">ROUND(IF(AND(BH28=3,BI28=3),P28,0),2)</f>
        <v>0</v>
      </c>
      <c r="FS28">
        <v>0</v>
      </c>
      <c r="FX28">
        <v>70</v>
      </c>
      <c r="FY28">
        <v>10</v>
      </c>
      <c r="GA28" t="s">
        <v>3</v>
      </c>
      <c r="GD28">
        <v>0</v>
      </c>
      <c r="GF28">
        <v>1210134372</v>
      </c>
      <c r="GG28">
        <v>2</v>
      </c>
      <c r="GH28">
        <v>1</v>
      </c>
      <c r="GI28">
        <v>-2</v>
      </c>
      <c r="GJ28">
        <v>0</v>
      </c>
      <c r="GK28">
        <f>ROUND(R28*(R12)/100,2)</f>
        <v>0</v>
      </c>
      <c r="GL28">
        <f t="shared" ref="GL28:GL40" si="52">ROUND(IF(AND(BH28=3,BI28=3,FS28&lt;&gt;0),P28,0),2)</f>
        <v>0</v>
      </c>
      <c r="GM28">
        <f t="shared" ref="GM28:GM40" si="53">ROUND(O28+X28+Y28+GK28,2)+GX28</f>
        <v>32836.14</v>
      </c>
      <c r="GN28">
        <f t="shared" ref="GN28:GN40" si="54">IF(OR(BI28=0,BI28=1),ROUND(O28+X28+Y28+GK28,2),0)</f>
        <v>0</v>
      </c>
      <c r="GO28">
        <f t="shared" ref="GO28:GO40" si="55">IF(BI28=2,ROUND(O28+X28+Y28+GK28,2),0)</f>
        <v>0</v>
      </c>
      <c r="GP28">
        <f t="shared" ref="GP28:GP40" si="56">IF(BI28=4,ROUND(O28+X28+Y28+GK28,2)+GX28,0)</f>
        <v>32836.14</v>
      </c>
      <c r="GR28">
        <v>0</v>
      </c>
      <c r="GS28">
        <v>3</v>
      </c>
      <c r="GT28">
        <v>0</v>
      </c>
      <c r="GU28" t="s">
        <v>3</v>
      </c>
      <c r="GV28">
        <f t="shared" ref="GV28:GV40" si="57">ROUND(GT28,6)</f>
        <v>0</v>
      </c>
      <c r="GW28">
        <v>1</v>
      </c>
      <c r="GX28">
        <f t="shared" ref="GX28:GX40" si="58">ROUND(GV28*GW28*I28,2)</f>
        <v>0</v>
      </c>
      <c r="HA28">
        <v>0</v>
      </c>
      <c r="HB28">
        <v>0</v>
      </c>
      <c r="IK28">
        <v>0</v>
      </c>
    </row>
    <row r="29" spans="1:245" x14ac:dyDescent="0.2">
      <c r="A29">
        <v>17</v>
      </c>
      <c r="B29">
        <v>1</v>
      </c>
      <c r="C29">
        <f>ROW(SmtRes!A11)</f>
        <v>11</v>
      </c>
      <c r="D29">
        <f>ROW(EtalonRes!A11)</f>
        <v>11</v>
      </c>
      <c r="E29" t="s">
        <v>23</v>
      </c>
      <c r="F29" t="s">
        <v>24</v>
      </c>
      <c r="G29" t="s">
        <v>25</v>
      </c>
      <c r="H29" t="s">
        <v>17</v>
      </c>
      <c r="I29">
        <f>ROUND(4.21/100,9)</f>
        <v>4.2099999999999999E-2</v>
      </c>
      <c r="J29">
        <v>0</v>
      </c>
      <c r="O29">
        <f t="shared" si="21"/>
        <v>555.91</v>
      </c>
      <c r="P29">
        <f t="shared" si="22"/>
        <v>67.22</v>
      </c>
      <c r="Q29">
        <f t="shared" si="23"/>
        <v>0</v>
      </c>
      <c r="R29">
        <f t="shared" si="24"/>
        <v>0</v>
      </c>
      <c r="S29">
        <f t="shared" si="25"/>
        <v>488.69</v>
      </c>
      <c r="T29">
        <f t="shared" si="26"/>
        <v>0</v>
      </c>
      <c r="U29">
        <f t="shared" si="27"/>
        <v>2.6691400000000001</v>
      </c>
      <c r="V29">
        <f t="shared" si="28"/>
        <v>0</v>
      </c>
      <c r="W29">
        <f t="shared" si="29"/>
        <v>0</v>
      </c>
      <c r="X29">
        <f t="shared" si="30"/>
        <v>342.08</v>
      </c>
      <c r="Y29">
        <f t="shared" si="31"/>
        <v>48.87</v>
      </c>
      <c r="AA29">
        <v>42387469</v>
      </c>
      <c r="AB29">
        <f t="shared" si="32"/>
        <v>13204.49</v>
      </c>
      <c r="AC29">
        <f t="shared" si="33"/>
        <v>1596.58</v>
      </c>
      <c r="AD29">
        <f t="shared" si="34"/>
        <v>0</v>
      </c>
      <c r="AE29">
        <f t="shared" si="35"/>
        <v>0</v>
      </c>
      <c r="AF29">
        <f t="shared" ref="AF29:AF40" si="59">ROUND((EV29),6)</f>
        <v>11607.91</v>
      </c>
      <c r="AG29">
        <f t="shared" si="36"/>
        <v>0</v>
      </c>
      <c r="AH29">
        <f t="shared" si="37"/>
        <v>63.4</v>
      </c>
      <c r="AI29">
        <f t="shared" si="38"/>
        <v>0</v>
      </c>
      <c r="AJ29">
        <f t="shared" si="39"/>
        <v>0</v>
      </c>
      <c r="AK29">
        <v>13204.49</v>
      </c>
      <c r="AL29">
        <v>1596.58</v>
      </c>
      <c r="AM29">
        <v>0</v>
      </c>
      <c r="AN29">
        <v>0</v>
      </c>
      <c r="AO29">
        <v>11607.91</v>
      </c>
      <c r="AP29">
        <v>0</v>
      </c>
      <c r="AQ29">
        <v>63.4</v>
      </c>
      <c r="AR29">
        <v>0</v>
      </c>
      <c r="AS29">
        <v>0</v>
      </c>
      <c r="AT29">
        <v>70</v>
      </c>
      <c r="AU29">
        <v>10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26</v>
      </c>
      <c r="BM29">
        <v>0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70</v>
      </c>
      <c r="CA29">
        <v>10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40"/>
        <v>555.91</v>
      </c>
      <c r="CQ29">
        <f t="shared" si="41"/>
        <v>1596.58</v>
      </c>
      <c r="CR29">
        <f t="shared" si="42"/>
        <v>0</v>
      </c>
      <c r="CS29">
        <f t="shared" si="43"/>
        <v>0</v>
      </c>
      <c r="CT29">
        <f t="shared" si="44"/>
        <v>11607.91</v>
      </c>
      <c r="CU29">
        <f t="shared" si="45"/>
        <v>0</v>
      </c>
      <c r="CV29">
        <f t="shared" si="46"/>
        <v>63.4</v>
      </c>
      <c r="CW29">
        <f t="shared" si="47"/>
        <v>0</v>
      </c>
      <c r="CX29">
        <f t="shared" si="48"/>
        <v>0</v>
      </c>
      <c r="CY29">
        <f t="shared" si="49"/>
        <v>342.08300000000003</v>
      </c>
      <c r="CZ29">
        <f t="shared" si="50"/>
        <v>48.869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17</v>
      </c>
      <c r="DW29" t="s">
        <v>17</v>
      </c>
      <c r="DX29">
        <v>100</v>
      </c>
      <c r="EE29">
        <v>42346695</v>
      </c>
      <c r="EF29">
        <v>1</v>
      </c>
      <c r="EG29" t="s">
        <v>20</v>
      </c>
      <c r="EH29">
        <v>0</v>
      </c>
      <c r="EI29" t="s">
        <v>3</v>
      </c>
      <c r="EJ29">
        <v>4</v>
      </c>
      <c r="EK29">
        <v>0</v>
      </c>
      <c r="EL29" t="s">
        <v>21</v>
      </c>
      <c r="EM29" t="s">
        <v>22</v>
      </c>
      <c r="EO29" t="s">
        <v>3</v>
      </c>
      <c r="EQ29">
        <v>0</v>
      </c>
      <c r="ER29">
        <v>13204.49</v>
      </c>
      <c r="ES29">
        <v>1596.58</v>
      </c>
      <c r="ET29">
        <v>0</v>
      </c>
      <c r="EU29">
        <v>0</v>
      </c>
      <c r="EV29">
        <v>11607.91</v>
      </c>
      <c r="EW29">
        <v>63.4</v>
      </c>
      <c r="EX29">
        <v>0</v>
      </c>
      <c r="EY29">
        <v>0</v>
      </c>
      <c r="FQ29">
        <v>0</v>
      </c>
      <c r="FR29">
        <f t="shared" si="51"/>
        <v>0</v>
      </c>
      <c r="FS29">
        <v>0</v>
      </c>
      <c r="FX29">
        <v>70</v>
      </c>
      <c r="FY29">
        <v>10</v>
      </c>
      <c r="GA29" t="s">
        <v>3</v>
      </c>
      <c r="GD29">
        <v>0</v>
      </c>
      <c r="GF29">
        <v>1729283395</v>
      </c>
      <c r="GG29">
        <v>2</v>
      </c>
      <c r="GH29">
        <v>1</v>
      </c>
      <c r="GI29">
        <v>-2</v>
      </c>
      <c r="GJ29">
        <v>0</v>
      </c>
      <c r="GK29">
        <f>ROUND(R29*(R12)/100,2)</f>
        <v>0</v>
      </c>
      <c r="GL29">
        <f t="shared" si="52"/>
        <v>0</v>
      </c>
      <c r="GM29">
        <f t="shared" si="53"/>
        <v>946.86</v>
      </c>
      <c r="GN29">
        <f t="shared" si="54"/>
        <v>0</v>
      </c>
      <c r="GO29">
        <f t="shared" si="55"/>
        <v>0</v>
      </c>
      <c r="GP29">
        <f t="shared" si="56"/>
        <v>946.86</v>
      </c>
      <c r="GR29">
        <v>0</v>
      </c>
      <c r="GS29">
        <v>3</v>
      </c>
      <c r="GT29">
        <v>0</v>
      </c>
      <c r="GU29" t="s">
        <v>3</v>
      </c>
      <c r="GV29">
        <f t="shared" si="57"/>
        <v>0</v>
      </c>
      <c r="GW29">
        <v>1</v>
      </c>
      <c r="GX29">
        <f t="shared" si="58"/>
        <v>0</v>
      </c>
      <c r="HA29">
        <v>0</v>
      </c>
      <c r="HB29">
        <v>0</v>
      </c>
      <c r="IK29">
        <v>0</v>
      </c>
    </row>
    <row r="30" spans="1:245" x14ac:dyDescent="0.2">
      <c r="A30">
        <v>17</v>
      </c>
      <c r="B30">
        <v>1</v>
      </c>
      <c r="C30">
        <f>ROW(SmtRes!A14)</f>
        <v>14</v>
      </c>
      <c r="D30">
        <f>ROW(EtalonRes!A14)</f>
        <v>14</v>
      </c>
      <c r="E30" t="s">
        <v>27</v>
      </c>
      <c r="F30" t="s">
        <v>28</v>
      </c>
      <c r="G30" t="s">
        <v>29</v>
      </c>
      <c r="H30" t="s">
        <v>17</v>
      </c>
      <c r="I30">
        <f>ROUND(12.48/100,9)</f>
        <v>0.12479999999999999</v>
      </c>
      <c r="J30">
        <v>0</v>
      </c>
      <c r="O30">
        <f t="shared" si="21"/>
        <v>1894.95</v>
      </c>
      <c r="P30">
        <f t="shared" si="22"/>
        <v>201.79</v>
      </c>
      <c r="Q30">
        <f t="shared" si="23"/>
        <v>0</v>
      </c>
      <c r="R30">
        <f t="shared" si="24"/>
        <v>0</v>
      </c>
      <c r="S30">
        <f t="shared" si="25"/>
        <v>1693.16</v>
      </c>
      <c r="T30">
        <f t="shared" si="26"/>
        <v>0</v>
      </c>
      <c r="U30">
        <f t="shared" si="27"/>
        <v>9.247679999999999</v>
      </c>
      <c r="V30">
        <f t="shared" si="28"/>
        <v>0</v>
      </c>
      <c r="W30">
        <f t="shared" si="29"/>
        <v>0</v>
      </c>
      <c r="X30">
        <f t="shared" si="30"/>
        <v>1185.21</v>
      </c>
      <c r="Y30">
        <f t="shared" si="31"/>
        <v>169.32</v>
      </c>
      <c r="AA30">
        <v>42387469</v>
      </c>
      <c r="AB30">
        <f t="shared" si="32"/>
        <v>15183.85</v>
      </c>
      <c r="AC30">
        <f t="shared" si="33"/>
        <v>1616.88</v>
      </c>
      <c r="AD30">
        <f t="shared" si="34"/>
        <v>0</v>
      </c>
      <c r="AE30">
        <f t="shared" si="35"/>
        <v>0</v>
      </c>
      <c r="AF30">
        <f t="shared" si="59"/>
        <v>13566.97</v>
      </c>
      <c r="AG30">
        <f t="shared" si="36"/>
        <v>0</v>
      </c>
      <c r="AH30">
        <f t="shared" si="37"/>
        <v>74.099999999999994</v>
      </c>
      <c r="AI30">
        <f t="shared" si="38"/>
        <v>0</v>
      </c>
      <c r="AJ30">
        <f t="shared" si="39"/>
        <v>0</v>
      </c>
      <c r="AK30">
        <v>15183.85</v>
      </c>
      <c r="AL30">
        <v>1616.88</v>
      </c>
      <c r="AM30">
        <v>0</v>
      </c>
      <c r="AN30">
        <v>0</v>
      </c>
      <c r="AO30">
        <v>13566.97</v>
      </c>
      <c r="AP30">
        <v>0</v>
      </c>
      <c r="AQ30">
        <v>74.099999999999994</v>
      </c>
      <c r="AR30">
        <v>0</v>
      </c>
      <c r="AS30">
        <v>0</v>
      </c>
      <c r="AT30">
        <v>70</v>
      </c>
      <c r="AU30">
        <v>10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4</v>
      </c>
      <c r="BJ30" t="s">
        <v>30</v>
      </c>
      <c r="BM30">
        <v>0</v>
      </c>
      <c r="BN30">
        <v>0</v>
      </c>
      <c r="BO30" t="s">
        <v>3</v>
      </c>
      <c r="BP30">
        <v>0</v>
      </c>
      <c r="BQ30">
        <v>1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70</v>
      </c>
      <c r="CA30">
        <v>10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40"/>
        <v>1894.95</v>
      </c>
      <c r="CQ30">
        <f t="shared" si="41"/>
        <v>1616.88</v>
      </c>
      <c r="CR30">
        <f t="shared" si="42"/>
        <v>0</v>
      </c>
      <c r="CS30">
        <f t="shared" si="43"/>
        <v>0</v>
      </c>
      <c r="CT30">
        <f t="shared" si="44"/>
        <v>13566.97</v>
      </c>
      <c r="CU30">
        <f t="shared" si="45"/>
        <v>0</v>
      </c>
      <c r="CV30">
        <f t="shared" si="46"/>
        <v>74.099999999999994</v>
      </c>
      <c r="CW30">
        <f t="shared" si="47"/>
        <v>0</v>
      </c>
      <c r="CX30">
        <f t="shared" si="48"/>
        <v>0</v>
      </c>
      <c r="CY30">
        <f t="shared" si="49"/>
        <v>1185.2120000000002</v>
      </c>
      <c r="CZ30">
        <f t="shared" si="50"/>
        <v>169.31600000000003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1005</v>
      </c>
      <c r="DV30" t="s">
        <v>17</v>
      </c>
      <c r="DW30" t="s">
        <v>17</v>
      </c>
      <c r="DX30">
        <v>100</v>
      </c>
      <c r="EE30">
        <v>42346695</v>
      </c>
      <c r="EF30">
        <v>1</v>
      </c>
      <c r="EG30" t="s">
        <v>20</v>
      </c>
      <c r="EH30">
        <v>0</v>
      </c>
      <c r="EI30" t="s">
        <v>3</v>
      </c>
      <c r="EJ30">
        <v>4</v>
      </c>
      <c r="EK30">
        <v>0</v>
      </c>
      <c r="EL30" t="s">
        <v>21</v>
      </c>
      <c r="EM30" t="s">
        <v>22</v>
      </c>
      <c r="EO30" t="s">
        <v>3</v>
      </c>
      <c r="EQ30">
        <v>0</v>
      </c>
      <c r="ER30">
        <v>15183.85</v>
      </c>
      <c r="ES30">
        <v>1616.88</v>
      </c>
      <c r="ET30">
        <v>0</v>
      </c>
      <c r="EU30">
        <v>0</v>
      </c>
      <c r="EV30">
        <v>13566.97</v>
      </c>
      <c r="EW30">
        <v>74.099999999999994</v>
      </c>
      <c r="EX30">
        <v>0</v>
      </c>
      <c r="EY30">
        <v>0</v>
      </c>
      <c r="FQ30">
        <v>0</v>
      </c>
      <c r="FR30">
        <f t="shared" si="51"/>
        <v>0</v>
      </c>
      <c r="FS30">
        <v>0</v>
      </c>
      <c r="FX30">
        <v>70</v>
      </c>
      <c r="FY30">
        <v>10</v>
      </c>
      <c r="GA30" t="s">
        <v>3</v>
      </c>
      <c r="GD30">
        <v>0</v>
      </c>
      <c r="GF30">
        <v>-1526800966</v>
      </c>
      <c r="GG30">
        <v>2</v>
      </c>
      <c r="GH30">
        <v>1</v>
      </c>
      <c r="GI30">
        <v>-2</v>
      </c>
      <c r="GJ30">
        <v>0</v>
      </c>
      <c r="GK30">
        <f>ROUND(R30*(R12)/100,2)</f>
        <v>0</v>
      </c>
      <c r="GL30">
        <f t="shared" si="52"/>
        <v>0</v>
      </c>
      <c r="GM30">
        <f t="shared" si="53"/>
        <v>3249.48</v>
      </c>
      <c r="GN30">
        <f t="shared" si="54"/>
        <v>0</v>
      </c>
      <c r="GO30">
        <f t="shared" si="55"/>
        <v>0</v>
      </c>
      <c r="GP30">
        <f t="shared" si="56"/>
        <v>3249.48</v>
      </c>
      <c r="GR30">
        <v>0</v>
      </c>
      <c r="GS30">
        <v>3</v>
      </c>
      <c r="GT30">
        <v>0</v>
      </c>
      <c r="GU30" t="s">
        <v>3</v>
      </c>
      <c r="GV30">
        <f t="shared" si="57"/>
        <v>0</v>
      </c>
      <c r="GW30">
        <v>1</v>
      </c>
      <c r="GX30">
        <f t="shared" si="58"/>
        <v>0</v>
      </c>
      <c r="HA30">
        <v>0</v>
      </c>
      <c r="HB30">
        <v>0</v>
      </c>
      <c r="IK30">
        <v>0</v>
      </c>
    </row>
    <row r="31" spans="1:245" x14ac:dyDescent="0.2">
      <c r="A31">
        <v>17</v>
      </c>
      <c r="B31">
        <v>1</v>
      </c>
      <c r="C31">
        <f>ROW(SmtRes!A21)</f>
        <v>21</v>
      </c>
      <c r="D31">
        <f>ROW(EtalonRes!A21)</f>
        <v>21</v>
      </c>
      <c r="E31" t="s">
        <v>31</v>
      </c>
      <c r="F31" t="s">
        <v>32</v>
      </c>
      <c r="G31" t="s">
        <v>33</v>
      </c>
      <c r="H31" t="s">
        <v>34</v>
      </c>
      <c r="I31">
        <f>ROUND(8.8/10,9)</f>
        <v>0.88</v>
      </c>
      <c r="J31">
        <v>0</v>
      </c>
      <c r="O31">
        <f t="shared" si="21"/>
        <v>1429.55</v>
      </c>
      <c r="P31">
        <f t="shared" si="22"/>
        <v>125.68</v>
      </c>
      <c r="Q31">
        <f t="shared" si="23"/>
        <v>0</v>
      </c>
      <c r="R31">
        <f t="shared" si="24"/>
        <v>0</v>
      </c>
      <c r="S31">
        <f t="shared" si="25"/>
        <v>1303.8699999999999</v>
      </c>
      <c r="T31">
        <f t="shared" si="26"/>
        <v>0</v>
      </c>
      <c r="U31">
        <f t="shared" si="27"/>
        <v>5.1040000000000001</v>
      </c>
      <c r="V31">
        <f t="shared" si="28"/>
        <v>0</v>
      </c>
      <c r="W31">
        <f t="shared" si="29"/>
        <v>0</v>
      </c>
      <c r="X31">
        <f t="shared" si="30"/>
        <v>912.71</v>
      </c>
      <c r="Y31">
        <f t="shared" si="31"/>
        <v>130.38999999999999</v>
      </c>
      <c r="AA31">
        <v>42387469</v>
      </c>
      <c r="AB31">
        <f t="shared" si="32"/>
        <v>1624.49</v>
      </c>
      <c r="AC31">
        <f t="shared" si="33"/>
        <v>142.82</v>
      </c>
      <c r="AD31">
        <f t="shared" si="34"/>
        <v>0</v>
      </c>
      <c r="AE31">
        <f t="shared" si="35"/>
        <v>0</v>
      </c>
      <c r="AF31">
        <f t="shared" si="59"/>
        <v>1481.67</v>
      </c>
      <c r="AG31">
        <f t="shared" si="36"/>
        <v>0</v>
      </c>
      <c r="AH31">
        <f t="shared" si="37"/>
        <v>5.8</v>
      </c>
      <c r="AI31">
        <f t="shared" si="38"/>
        <v>0</v>
      </c>
      <c r="AJ31">
        <f t="shared" si="39"/>
        <v>0</v>
      </c>
      <c r="AK31">
        <v>1624.49</v>
      </c>
      <c r="AL31">
        <v>142.82</v>
      </c>
      <c r="AM31">
        <v>0</v>
      </c>
      <c r="AN31">
        <v>0</v>
      </c>
      <c r="AO31">
        <v>1481.67</v>
      </c>
      <c r="AP31">
        <v>0</v>
      </c>
      <c r="AQ31">
        <v>5.8</v>
      </c>
      <c r="AR31">
        <v>0</v>
      </c>
      <c r="AS31">
        <v>0</v>
      </c>
      <c r="AT31">
        <v>70</v>
      </c>
      <c r="AU31">
        <v>10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35</v>
      </c>
      <c r="BM31">
        <v>0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70</v>
      </c>
      <c r="CA31">
        <v>10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40"/>
        <v>1429.55</v>
      </c>
      <c r="CQ31">
        <f t="shared" si="41"/>
        <v>142.82</v>
      </c>
      <c r="CR31">
        <f t="shared" si="42"/>
        <v>0</v>
      </c>
      <c r="CS31">
        <f t="shared" si="43"/>
        <v>0</v>
      </c>
      <c r="CT31">
        <f t="shared" si="44"/>
        <v>1481.67</v>
      </c>
      <c r="CU31">
        <f t="shared" si="45"/>
        <v>0</v>
      </c>
      <c r="CV31">
        <f t="shared" si="46"/>
        <v>5.8</v>
      </c>
      <c r="CW31">
        <f t="shared" si="47"/>
        <v>0</v>
      </c>
      <c r="CX31">
        <f t="shared" si="48"/>
        <v>0</v>
      </c>
      <c r="CY31">
        <f t="shared" si="49"/>
        <v>912.70899999999995</v>
      </c>
      <c r="CZ31">
        <f t="shared" si="50"/>
        <v>130.387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34</v>
      </c>
      <c r="DW31" t="s">
        <v>34</v>
      </c>
      <c r="DX31">
        <v>10</v>
      </c>
      <c r="EE31">
        <v>42346695</v>
      </c>
      <c r="EF31">
        <v>1</v>
      </c>
      <c r="EG31" t="s">
        <v>20</v>
      </c>
      <c r="EH31">
        <v>0</v>
      </c>
      <c r="EI31" t="s">
        <v>3</v>
      </c>
      <c r="EJ31">
        <v>4</v>
      </c>
      <c r="EK31">
        <v>0</v>
      </c>
      <c r="EL31" t="s">
        <v>21</v>
      </c>
      <c r="EM31" t="s">
        <v>22</v>
      </c>
      <c r="EO31" t="s">
        <v>3</v>
      </c>
      <c r="EQ31">
        <v>0</v>
      </c>
      <c r="ER31">
        <v>1624.49</v>
      </c>
      <c r="ES31">
        <v>142.82</v>
      </c>
      <c r="ET31">
        <v>0</v>
      </c>
      <c r="EU31">
        <v>0</v>
      </c>
      <c r="EV31">
        <v>1481.67</v>
      </c>
      <c r="EW31">
        <v>5.8</v>
      </c>
      <c r="EX31">
        <v>0</v>
      </c>
      <c r="EY31">
        <v>0</v>
      </c>
      <c r="FQ31">
        <v>0</v>
      </c>
      <c r="FR31">
        <f t="shared" si="51"/>
        <v>0</v>
      </c>
      <c r="FS31">
        <v>0</v>
      </c>
      <c r="FX31">
        <v>70</v>
      </c>
      <c r="FY31">
        <v>10</v>
      </c>
      <c r="GA31" t="s">
        <v>3</v>
      </c>
      <c r="GD31">
        <v>0</v>
      </c>
      <c r="GF31">
        <v>-611908559</v>
      </c>
      <c r="GG31">
        <v>2</v>
      </c>
      <c r="GH31">
        <v>1</v>
      </c>
      <c r="GI31">
        <v>-2</v>
      </c>
      <c r="GJ31">
        <v>0</v>
      </c>
      <c r="GK31">
        <f>ROUND(R31*(R12)/100,2)</f>
        <v>0</v>
      </c>
      <c r="GL31">
        <f t="shared" si="52"/>
        <v>0</v>
      </c>
      <c r="GM31">
        <f t="shared" si="53"/>
        <v>2472.65</v>
      </c>
      <c r="GN31">
        <f t="shared" si="54"/>
        <v>0</v>
      </c>
      <c r="GO31">
        <f t="shared" si="55"/>
        <v>0</v>
      </c>
      <c r="GP31">
        <f t="shared" si="56"/>
        <v>2472.65</v>
      </c>
      <c r="GR31">
        <v>0</v>
      </c>
      <c r="GS31">
        <v>3</v>
      </c>
      <c r="GT31">
        <v>0</v>
      </c>
      <c r="GU31" t="s">
        <v>3</v>
      </c>
      <c r="GV31">
        <f t="shared" si="57"/>
        <v>0</v>
      </c>
      <c r="GW31">
        <v>1</v>
      </c>
      <c r="GX31">
        <f t="shared" si="58"/>
        <v>0</v>
      </c>
      <c r="HA31">
        <v>0</v>
      </c>
      <c r="HB31">
        <v>0</v>
      </c>
      <c r="IK31">
        <v>0</v>
      </c>
    </row>
    <row r="32" spans="1:245" x14ac:dyDescent="0.2">
      <c r="A32">
        <v>17</v>
      </c>
      <c r="B32">
        <v>1</v>
      </c>
      <c r="C32">
        <f>ROW(SmtRes!A28)</f>
        <v>28</v>
      </c>
      <c r="D32">
        <f>ROW(EtalonRes!A28)</f>
        <v>28</v>
      </c>
      <c r="E32" t="s">
        <v>36</v>
      </c>
      <c r="F32" t="s">
        <v>37</v>
      </c>
      <c r="G32" t="s">
        <v>38</v>
      </c>
      <c r="H32" t="s">
        <v>39</v>
      </c>
      <c r="I32">
        <v>27.8</v>
      </c>
      <c r="J32">
        <v>0</v>
      </c>
      <c r="O32">
        <f t="shared" si="21"/>
        <v>9585.7199999999993</v>
      </c>
      <c r="P32">
        <f t="shared" si="22"/>
        <v>4742.3999999999996</v>
      </c>
      <c r="Q32">
        <f t="shared" si="23"/>
        <v>684.16</v>
      </c>
      <c r="R32">
        <f t="shared" si="24"/>
        <v>438.41</v>
      </c>
      <c r="S32">
        <f t="shared" si="25"/>
        <v>4159.16</v>
      </c>
      <c r="T32">
        <f t="shared" si="26"/>
        <v>0</v>
      </c>
      <c r="U32">
        <f t="shared" si="27"/>
        <v>19.46</v>
      </c>
      <c r="V32">
        <f t="shared" si="28"/>
        <v>0</v>
      </c>
      <c r="W32">
        <f t="shared" si="29"/>
        <v>0</v>
      </c>
      <c r="X32">
        <f t="shared" si="30"/>
        <v>2911.41</v>
      </c>
      <c r="Y32">
        <f t="shared" si="31"/>
        <v>415.92</v>
      </c>
      <c r="AA32">
        <v>42387469</v>
      </c>
      <c r="AB32">
        <f t="shared" si="32"/>
        <v>344.81</v>
      </c>
      <c r="AC32">
        <f t="shared" si="33"/>
        <v>170.59</v>
      </c>
      <c r="AD32">
        <f t="shared" si="34"/>
        <v>24.61</v>
      </c>
      <c r="AE32">
        <f t="shared" si="35"/>
        <v>15.77</v>
      </c>
      <c r="AF32">
        <f t="shared" si="59"/>
        <v>149.61000000000001</v>
      </c>
      <c r="AG32">
        <f t="shared" si="36"/>
        <v>0</v>
      </c>
      <c r="AH32">
        <f t="shared" si="37"/>
        <v>0.7</v>
      </c>
      <c r="AI32">
        <f t="shared" si="38"/>
        <v>0</v>
      </c>
      <c r="AJ32">
        <f t="shared" si="39"/>
        <v>0</v>
      </c>
      <c r="AK32">
        <v>344.81</v>
      </c>
      <c r="AL32">
        <v>170.59</v>
      </c>
      <c r="AM32">
        <v>24.61</v>
      </c>
      <c r="AN32">
        <v>15.77</v>
      </c>
      <c r="AO32">
        <v>149.61000000000001</v>
      </c>
      <c r="AP32">
        <v>0</v>
      </c>
      <c r="AQ32">
        <v>0.7</v>
      </c>
      <c r="AR32">
        <v>0</v>
      </c>
      <c r="AS32">
        <v>0</v>
      </c>
      <c r="AT32">
        <v>70</v>
      </c>
      <c r="AU32">
        <v>10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4</v>
      </c>
      <c r="BJ32" t="s">
        <v>40</v>
      </c>
      <c r="BM32">
        <v>0</v>
      </c>
      <c r="BN32">
        <v>0</v>
      </c>
      <c r="BO32" t="s">
        <v>3</v>
      </c>
      <c r="BP32">
        <v>0</v>
      </c>
      <c r="BQ32">
        <v>1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70</v>
      </c>
      <c r="CA32">
        <v>10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40"/>
        <v>9585.7199999999993</v>
      </c>
      <c r="CQ32">
        <f t="shared" si="41"/>
        <v>170.59</v>
      </c>
      <c r="CR32">
        <f t="shared" si="42"/>
        <v>24.61</v>
      </c>
      <c r="CS32">
        <f t="shared" si="43"/>
        <v>15.77</v>
      </c>
      <c r="CT32">
        <f t="shared" si="44"/>
        <v>149.61000000000001</v>
      </c>
      <c r="CU32">
        <f t="shared" si="45"/>
        <v>0</v>
      </c>
      <c r="CV32">
        <f t="shared" si="46"/>
        <v>0.7</v>
      </c>
      <c r="CW32">
        <f t="shared" si="47"/>
        <v>0</v>
      </c>
      <c r="CX32">
        <f t="shared" si="48"/>
        <v>0</v>
      </c>
      <c r="CY32">
        <f t="shared" si="49"/>
        <v>2911.4120000000003</v>
      </c>
      <c r="CZ32">
        <f t="shared" si="50"/>
        <v>415.916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1005</v>
      </c>
      <c r="DV32" t="s">
        <v>39</v>
      </c>
      <c r="DW32" t="s">
        <v>39</v>
      </c>
      <c r="DX32">
        <v>1</v>
      </c>
      <c r="EE32">
        <v>42346695</v>
      </c>
      <c r="EF32">
        <v>1</v>
      </c>
      <c r="EG32" t="s">
        <v>20</v>
      </c>
      <c r="EH32">
        <v>0</v>
      </c>
      <c r="EI32" t="s">
        <v>3</v>
      </c>
      <c r="EJ32">
        <v>4</v>
      </c>
      <c r="EK32">
        <v>0</v>
      </c>
      <c r="EL32" t="s">
        <v>21</v>
      </c>
      <c r="EM32" t="s">
        <v>22</v>
      </c>
      <c r="EO32" t="s">
        <v>3</v>
      </c>
      <c r="EQ32">
        <v>0</v>
      </c>
      <c r="ER32">
        <v>344.81</v>
      </c>
      <c r="ES32">
        <v>170.59</v>
      </c>
      <c r="ET32">
        <v>24.61</v>
      </c>
      <c r="EU32">
        <v>15.77</v>
      </c>
      <c r="EV32">
        <v>149.61000000000001</v>
      </c>
      <c r="EW32">
        <v>0.7</v>
      </c>
      <c r="EX32">
        <v>0</v>
      </c>
      <c r="EY32">
        <v>0</v>
      </c>
      <c r="FQ32">
        <v>0</v>
      </c>
      <c r="FR32">
        <f t="shared" si="51"/>
        <v>0</v>
      </c>
      <c r="FS32">
        <v>0</v>
      </c>
      <c r="FX32">
        <v>70</v>
      </c>
      <c r="FY32">
        <v>10</v>
      </c>
      <c r="GA32" t="s">
        <v>3</v>
      </c>
      <c r="GD32">
        <v>0</v>
      </c>
      <c r="GF32">
        <v>-337837457</v>
      </c>
      <c r="GG32">
        <v>2</v>
      </c>
      <c r="GH32">
        <v>1</v>
      </c>
      <c r="GI32">
        <v>-2</v>
      </c>
      <c r="GJ32">
        <v>0</v>
      </c>
      <c r="GK32">
        <f>ROUND(R32*(R12)/100,2)</f>
        <v>473.48</v>
      </c>
      <c r="GL32">
        <f t="shared" si="52"/>
        <v>0</v>
      </c>
      <c r="GM32">
        <f t="shared" si="53"/>
        <v>13386.53</v>
      </c>
      <c r="GN32">
        <f t="shared" si="54"/>
        <v>0</v>
      </c>
      <c r="GO32">
        <f t="shared" si="55"/>
        <v>0</v>
      </c>
      <c r="GP32">
        <f t="shared" si="56"/>
        <v>13386.53</v>
      </c>
      <c r="GR32">
        <v>0</v>
      </c>
      <c r="GS32">
        <v>3</v>
      </c>
      <c r="GT32">
        <v>0</v>
      </c>
      <c r="GU32" t="s">
        <v>3</v>
      </c>
      <c r="GV32">
        <f t="shared" si="57"/>
        <v>0</v>
      </c>
      <c r="GW32">
        <v>1</v>
      </c>
      <c r="GX32">
        <f t="shared" si="58"/>
        <v>0</v>
      </c>
      <c r="HA32">
        <v>0</v>
      </c>
      <c r="HB32">
        <v>0</v>
      </c>
      <c r="IK32">
        <v>0</v>
      </c>
    </row>
    <row r="33" spans="1:245" x14ac:dyDescent="0.2">
      <c r="A33">
        <v>17</v>
      </c>
      <c r="B33">
        <v>1</v>
      </c>
      <c r="C33">
        <f>ROW(SmtRes!A31)</f>
        <v>31</v>
      </c>
      <c r="D33">
        <f>ROW(EtalonRes!A31)</f>
        <v>31</v>
      </c>
      <c r="E33" t="s">
        <v>41</v>
      </c>
      <c r="F33" t="s">
        <v>42</v>
      </c>
      <c r="G33" t="s">
        <v>43</v>
      </c>
      <c r="H33" t="s">
        <v>39</v>
      </c>
      <c r="I33">
        <v>27.8</v>
      </c>
      <c r="J33">
        <v>0</v>
      </c>
      <c r="O33">
        <f t="shared" si="21"/>
        <v>3300.14</v>
      </c>
      <c r="P33">
        <f t="shared" si="22"/>
        <v>421.45</v>
      </c>
      <c r="Q33">
        <f t="shared" si="23"/>
        <v>26.69</v>
      </c>
      <c r="R33">
        <f t="shared" si="24"/>
        <v>2.78</v>
      </c>
      <c r="S33">
        <f t="shared" si="25"/>
        <v>2852</v>
      </c>
      <c r="T33">
        <f t="shared" si="26"/>
        <v>0</v>
      </c>
      <c r="U33">
        <f t="shared" si="27"/>
        <v>13.343999999999999</v>
      </c>
      <c r="V33">
        <f t="shared" si="28"/>
        <v>0</v>
      </c>
      <c r="W33">
        <f t="shared" si="29"/>
        <v>0</v>
      </c>
      <c r="X33">
        <f t="shared" si="30"/>
        <v>1996.4</v>
      </c>
      <c r="Y33">
        <f t="shared" si="31"/>
        <v>285.2</v>
      </c>
      <c r="AA33">
        <v>42387469</v>
      </c>
      <c r="AB33">
        <f t="shared" si="32"/>
        <v>118.71</v>
      </c>
      <c r="AC33">
        <f t="shared" si="33"/>
        <v>15.16</v>
      </c>
      <c r="AD33">
        <f t="shared" si="34"/>
        <v>0.96</v>
      </c>
      <c r="AE33">
        <f t="shared" si="35"/>
        <v>0.1</v>
      </c>
      <c r="AF33">
        <f t="shared" si="59"/>
        <v>102.59</v>
      </c>
      <c r="AG33">
        <f t="shared" si="36"/>
        <v>0</v>
      </c>
      <c r="AH33">
        <f t="shared" si="37"/>
        <v>0.48</v>
      </c>
      <c r="AI33">
        <f t="shared" si="38"/>
        <v>0</v>
      </c>
      <c r="AJ33">
        <f t="shared" si="39"/>
        <v>0</v>
      </c>
      <c r="AK33">
        <v>118.71</v>
      </c>
      <c r="AL33">
        <v>15.16</v>
      </c>
      <c r="AM33">
        <v>0.96</v>
      </c>
      <c r="AN33">
        <v>0.1</v>
      </c>
      <c r="AO33">
        <v>102.59</v>
      </c>
      <c r="AP33">
        <v>0</v>
      </c>
      <c r="AQ33">
        <v>0.48</v>
      </c>
      <c r="AR33">
        <v>0</v>
      </c>
      <c r="AS33">
        <v>0</v>
      </c>
      <c r="AT33">
        <v>70</v>
      </c>
      <c r="AU33">
        <v>10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44</v>
      </c>
      <c r="BM33">
        <v>0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70</v>
      </c>
      <c r="CA33">
        <v>10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0"/>
        <v>3300.14</v>
      </c>
      <c r="CQ33">
        <f t="shared" si="41"/>
        <v>15.16</v>
      </c>
      <c r="CR33">
        <f t="shared" si="42"/>
        <v>0.96</v>
      </c>
      <c r="CS33">
        <f t="shared" si="43"/>
        <v>0.1</v>
      </c>
      <c r="CT33">
        <f t="shared" si="44"/>
        <v>102.59</v>
      </c>
      <c r="CU33">
        <f t="shared" si="45"/>
        <v>0</v>
      </c>
      <c r="CV33">
        <f t="shared" si="46"/>
        <v>0.48</v>
      </c>
      <c r="CW33">
        <f t="shared" si="47"/>
        <v>0</v>
      </c>
      <c r="CX33">
        <f t="shared" si="48"/>
        <v>0</v>
      </c>
      <c r="CY33">
        <f t="shared" si="49"/>
        <v>1996.4</v>
      </c>
      <c r="CZ33">
        <f t="shared" si="50"/>
        <v>285.2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39</v>
      </c>
      <c r="DW33" t="s">
        <v>39</v>
      </c>
      <c r="DX33">
        <v>1</v>
      </c>
      <c r="EE33">
        <v>42346695</v>
      </c>
      <c r="EF33">
        <v>1</v>
      </c>
      <c r="EG33" t="s">
        <v>20</v>
      </c>
      <c r="EH33">
        <v>0</v>
      </c>
      <c r="EI33" t="s">
        <v>3</v>
      </c>
      <c r="EJ33">
        <v>4</v>
      </c>
      <c r="EK33">
        <v>0</v>
      </c>
      <c r="EL33" t="s">
        <v>21</v>
      </c>
      <c r="EM33" t="s">
        <v>22</v>
      </c>
      <c r="EO33" t="s">
        <v>3</v>
      </c>
      <c r="EQ33">
        <v>0</v>
      </c>
      <c r="ER33">
        <v>118.71</v>
      </c>
      <c r="ES33">
        <v>15.16</v>
      </c>
      <c r="ET33">
        <v>0.96</v>
      </c>
      <c r="EU33">
        <v>0.1</v>
      </c>
      <c r="EV33">
        <v>102.59</v>
      </c>
      <c r="EW33">
        <v>0.48</v>
      </c>
      <c r="EX33">
        <v>0</v>
      </c>
      <c r="EY33">
        <v>0</v>
      </c>
      <c r="FQ33">
        <v>0</v>
      </c>
      <c r="FR33">
        <f t="shared" si="51"/>
        <v>0</v>
      </c>
      <c r="FS33">
        <v>0</v>
      </c>
      <c r="FX33">
        <v>70</v>
      </c>
      <c r="FY33">
        <v>10</v>
      </c>
      <c r="GA33" t="s">
        <v>3</v>
      </c>
      <c r="GD33">
        <v>0</v>
      </c>
      <c r="GF33">
        <v>-1072546070</v>
      </c>
      <c r="GG33">
        <v>2</v>
      </c>
      <c r="GH33">
        <v>1</v>
      </c>
      <c r="GI33">
        <v>-2</v>
      </c>
      <c r="GJ33">
        <v>0</v>
      </c>
      <c r="GK33">
        <f>ROUND(R33*(R12)/100,2)</f>
        <v>3</v>
      </c>
      <c r="GL33">
        <f t="shared" si="52"/>
        <v>0</v>
      </c>
      <c r="GM33">
        <f t="shared" si="53"/>
        <v>5584.74</v>
      </c>
      <c r="GN33">
        <f t="shared" si="54"/>
        <v>0</v>
      </c>
      <c r="GO33">
        <f t="shared" si="55"/>
        <v>0</v>
      </c>
      <c r="GP33">
        <f t="shared" si="56"/>
        <v>5584.74</v>
      </c>
      <c r="GR33">
        <v>0</v>
      </c>
      <c r="GS33">
        <v>3</v>
      </c>
      <c r="GT33">
        <v>0</v>
      </c>
      <c r="GU33" t="s">
        <v>3</v>
      </c>
      <c r="GV33">
        <f t="shared" si="57"/>
        <v>0</v>
      </c>
      <c r="GW33">
        <v>1</v>
      </c>
      <c r="GX33">
        <f t="shared" si="58"/>
        <v>0</v>
      </c>
      <c r="HA33">
        <v>0</v>
      </c>
      <c r="HB33">
        <v>0</v>
      </c>
      <c r="IK33">
        <v>0</v>
      </c>
    </row>
    <row r="34" spans="1:245" x14ac:dyDescent="0.2">
      <c r="A34">
        <v>17</v>
      </c>
      <c r="B34">
        <v>1</v>
      </c>
      <c r="C34">
        <f>ROW(SmtRes!A35)</f>
        <v>35</v>
      </c>
      <c r="D34">
        <f>ROW(EtalonRes!A35)</f>
        <v>35</v>
      </c>
      <c r="E34" t="s">
        <v>45</v>
      </c>
      <c r="F34" t="s">
        <v>46</v>
      </c>
      <c r="G34" t="s">
        <v>47</v>
      </c>
      <c r="H34" t="s">
        <v>17</v>
      </c>
      <c r="I34">
        <f>ROUND(27.8/100,9)</f>
        <v>0.27800000000000002</v>
      </c>
      <c r="J34">
        <v>0</v>
      </c>
      <c r="O34">
        <f t="shared" si="21"/>
        <v>4182.49</v>
      </c>
      <c r="P34">
        <f t="shared" si="22"/>
        <v>873.07</v>
      </c>
      <c r="Q34">
        <f t="shared" si="23"/>
        <v>0</v>
      </c>
      <c r="R34">
        <f t="shared" si="24"/>
        <v>0</v>
      </c>
      <c r="S34">
        <f t="shared" si="25"/>
        <v>3309.42</v>
      </c>
      <c r="T34">
        <f t="shared" si="26"/>
        <v>0</v>
      </c>
      <c r="U34">
        <f t="shared" si="27"/>
        <v>17.008040000000001</v>
      </c>
      <c r="V34">
        <f t="shared" si="28"/>
        <v>0</v>
      </c>
      <c r="W34">
        <f t="shared" si="29"/>
        <v>0</v>
      </c>
      <c r="X34">
        <f t="shared" si="30"/>
        <v>2316.59</v>
      </c>
      <c r="Y34">
        <f t="shared" si="31"/>
        <v>330.94</v>
      </c>
      <c r="AA34">
        <v>42387469</v>
      </c>
      <c r="AB34">
        <f t="shared" si="32"/>
        <v>15044.94</v>
      </c>
      <c r="AC34">
        <f t="shared" si="33"/>
        <v>3140.54</v>
      </c>
      <c r="AD34">
        <f t="shared" si="34"/>
        <v>0</v>
      </c>
      <c r="AE34">
        <f t="shared" si="35"/>
        <v>0</v>
      </c>
      <c r="AF34">
        <f t="shared" si="59"/>
        <v>11904.4</v>
      </c>
      <c r="AG34">
        <f t="shared" si="36"/>
        <v>0</v>
      </c>
      <c r="AH34">
        <f t="shared" si="37"/>
        <v>61.18</v>
      </c>
      <c r="AI34">
        <f t="shared" si="38"/>
        <v>0</v>
      </c>
      <c r="AJ34">
        <f t="shared" si="39"/>
        <v>0</v>
      </c>
      <c r="AK34">
        <v>15044.94</v>
      </c>
      <c r="AL34">
        <v>3140.54</v>
      </c>
      <c r="AM34">
        <v>0</v>
      </c>
      <c r="AN34">
        <v>0</v>
      </c>
      <c r="AO34">
        <v>11904.4</v>
      </c>
      <c r="AP34">
        <v>0</v>
      </c>
      <c r="AQ34">
        <v>61.18</v>
      </c>
      <c r="AR34">
        <v>0</v>
      </c>
      <c r="AS34">
        <v>0</v>
      </c>
      <c r="AT34">
        <v>70</v>
      </c>
      <c r="AU34">
        <v>10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4</v>
      </c>
      <c r="BJ34" t="s">
        <v>48</v>
      </c>
      <c r="BM34">
        <v>0</v>
      </c>
      <c r="BN34">
        <v>0</v>
      </c>
      <c r="BO34" t="s">
        <v>3</v>
      </c>
      <c r="BP34">
        <v>0</v>
      </c>
      <c r="BQ34">
        <v>1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70</v>
      </c>
      <c r="CA34">
        <v>10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0"/>
        <v>4182.49</v>
      </c>
      <c r="CQ34">
        <f t="shared" si="41"/>
        <v>3140.54</v>
      </c>
      <c r="CR34">
        <f t="shared" si="42"/>
        <v>0</v>
      </c>
      <c r="CS34">
        <f t="shared" si="43"/>
        <v>0</v>
      </c>
      <c r="CT34">
        <f t="shared" si="44"/>
        <v>11904.4</v>
      </c>
      <c r="CU34">
        <f t="shared" si="45"/>
        <v>0</v>
      </c>
      <c r="CV34">
        <f t="shared" si="46"/>
        <v>61.18</v>
      </c>
      <c r="CW34">
        <f t="shared" si="47"/>
        <v>0</v>
      </c>
      <c r="CX34">
        <f t="shared" si="48"/>
        <v>0</v>
      </c>
      <c r="CY34">
        <f t="shared" si="49"/>
        <v>2316.5940000000001</v>
      </c>
      <c r="CZ34">
        <f t="shared" si="50"/>
        <v>330.94199999999995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1005</v>
      </c>
      <c r="DV34" t="s">
        <v>17</v>
      </c>
      <c r="DW34" t="s">
        <v>17</v>
      </c>
      <c r="DX34">
        <v>100</v>
      </c>
      <c r="EE34">
        <v>42346695</v>
      </c>
      <c r="EF34">
        <v>1</v>
      </c>
      <c r="EG34" t="s">
        <v>20</v>
      </c>
      <c r="EH34">
        <v>0</v>
      </c>
      <c r="EI34" t="s">
        <v>3</v>
      </c>
      <c r="EJ34">
        <v>4</v>
      </c>
      <c r="EK34">
        <v>0</v>
      </c>
      <c r="EL34" t="s">
        <v>21</v>
      </c>
      <c r="EM34" t="s">
        <v>22</v>
      </c>
      <c r="EO34" t="s">
        <v>3</v>
      </c>
      <c r="EQ34">
        <v>0</v>
      </c>
      <c r="ER34">
        <v>15044.94</v>
      </c>
      <c r="ES34">
        <v>3140.54</v>
      </c>
      <c r="ET34">
        <v>0</v>
      </c>
      <c r="EU34">
        <v>0</v>
      </c>
      <c r="EV34">
        <v>11904.4</v>
      </c>
      <c r="EW34">
        <v>61.18</v>
      </c>
      <c r="EX34">
        <v>0</v>
      </c>
      <c r="EY34">
        <v>0</v>
      </c>
      <c r="FQ34">
        <v>0</v>
      </c>
      <c r="FR34">
        <f t="shared" si="51"/>
        <v>0</v>
      </c>
      <c r="FS34">
        <v>0</v>
      </c>
      <c r="FX34">
        <v>70</v>
      </c>
      <c r="FY34">
        <v>10</v>
      </c>
      <c r="GA34" t="s">
        <v>3</v>
      </c>
      <c r="GD34">
        <v>0</v>
      </c>
      <c r="GF34">
        <v>-18301891</v>
      </c>
      <c r="GG34">
        <v>2</v>
      </c>
      <c r="GH34">
        <v>1</v>
      </c>
      <c r="GI34">
        <v>-2</v>
      </c>
      <c r="GJ34">
        <v>0</v>
      </c>
      <c r="GK34">
        <f>ROUND(R34*(R12)/100,2)</f>
        <v>0</v>
      </c>
      <c r="GL34">
        <f t="shared" si="52"/>
        <v>0</v>
      </c>
      <c r="GM34">
        <f t="shared" si="53"/>
        <v>6830.02</v>
      </c>
      <c r="GN34">
        <f t="shared" si="54"/>
        <v>0</v>
      </c>
      <c r="GO34">
        <f t="shared" si="55"/>
        <v>0</v>
      </c>
      <c r="GP34">
        <f t="shared" si="56"/>
        <v>6830.02</v>
      </c>
      <c r="GR34">
        <v>0</v>
      </c>
      <c r="GS34">
        <v>3</v>
      </c>
      <c r="GT34">
        <v>0</v>
      </c>
      <c r="GU34" t="s">
        <v>3</v>
      </c>
      <c r="GV34">
        <f t="shared" si="57"/>
        <v>0</v>
      </c>
      <c r="GW34">
        <v>1</v>
      </c>
      <c r="GX34">
        <f t="shared" si="58"/>
        <v>0</v>
      </c>
      <c r="HA34">
        <v>0</v>
      </c>
      <c r="HB34">
        <v>0</v>
      </c>
      <c r="IK34">
        <v>0</v>
      </c>
    </row>
    <row r="35" spans="1:245" x14ac:dyDescent="0.2">
      <c r="A35">
        <v>17</v>
      </c>
      <c r="B35">
        <v>1</v>
      </c>
      <c r="C35">
        <f>ROW(SmtRes!A40)</f>
        <v>40</v>
      </c>
      <c r="D35">
        <f>ROW(EtalonRes!A38)</f>
        <v>38</v>
      </c>
      <c r="E35" t="s">
        <v>49</v>
      </c>
      <c r="F35" t="s">
        <v>50</v>
      </c>
      <c r="G35" t="s">
        <v>51</v>
      </c>
      <c r="H35" t="s">
        <v>52</v>
      </c>
      <c r="I35">
        <f>ROUND(18/100,9)</f>
        <v>0.18</v>
      </c>
      <c r="J35">
        <v>0</v>
      </c>
      <c r="O35">
        <f t="shared" si="21"/>
        <v>2267.92</v>
      </c>
      <c r="P35">
        <f t="shared" si="22"/>
        <v>1545.71</v>
      </c>
      <c r="Q35">
        <f t="shared" si="23"/>
        <v>0</v>
      </c>
      <c r="R35">
        <f t="shared" si="24"/>
        <v>0</v>
      </c>
      <c r="S35">
        <f t="shared" si="25"/>
        <v>722.21</v>
      </c>
      <c r="T35">
        <f t="shared" si="26"/>
        <v>0</v>
      </c>
      <c r="U35">
        <f t="shared" si="27"/>
        <v>4.3469999999999995</v>
      </c>
      <c r="V35">
        <f t="shared" si="28"/>
        <v>0</v>
      </c>
      <c r="W35">
        <f t="shared" si="29"/>
        <v>0</v>
      </c>
      <c r="X35">
        <f t="shared" si="30"/>
        <v>505.55</v>
      </c>
      <c r="Y35">
        <f t="shared" si="31"/>
        <v>72.22</v>
      </c>
      <c r="AA35">
        <v>42387469</v>
      </c>
      <c r="AB35">
        <f t="shared" si="32"/>
        <v>12599.57</v>
      </c>
      <c r="AC35">
        <f t="shared" si="33"/>
        <v>8587.2900000000009</v>
      </c>
      <c r="AD35">
        <f t="shared" si="34"/>
        <v>0</v>
      </c>
      <c r="AE35">
        <f t="shared" si="35"/>
        <v>0</v>
      </c>
      <c r="AF35">
        <f t="shared" si="59"/>
        <v>4012.28</v>
      </c>
      <c r="AG35">
        <f t="shared" si="36"/>
        <v>0</v>
      </c>
      <c r="AH35">
        <f t="shared" si="37"/>
        <v>24.15</v>
      </c>
      <c r="AI35">
        <f t="shared" si="38"/>
        <v>0</v>
      </c>
      <c r="AJ35">
        <f t="shared" si="39"/>
        <v>0</v>
      </c>
      <c r="AK35">
        <v>12599.57</v>
      </c>
      <c r="AL35">
        <v>8587.2900000000009</v>
      </c>
      <c r="AM35">
        <v>0</v>
      </c>
      <c r="AN35">
        <v>0</v>
      </c>
      <c r="AO35">
        <v>4012.28</v>
      </c>
      <c r="AP35">
        <v>0</v>
      </c>
      <c r="AQ35">
        <v>24.15</v>
      </c>
      <c r="AR35">
        <v>0</v>
      </c>
      <c r="AS35">
        <v>0</v>
      </c>
      <c r="AT35">
        <v>70</v>
      </c>
      <c r="AU35">
        <v>10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53</v>
      </c>
      <c r="BM35">
        <v>0</v>
      </c>
      <c r="BN35">
        <v>0</v>
      </c>
      <c r="BO35" t="s">
        <v>3</v>
      </c>
      <c r="BP35">
        <v>0</v>
      </c>
      <c r="BQ35">
        <v>1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70</v>
      </c>
      <c r="CA35">
        <v>10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0"/>
        <v>2267.92</v>
      </c>
      <c r="CQ35">
        <f t="shared" si="41"/>
        <v>8587.2900000000009</v>
      </c>
      <c r="CR35">
        <f t="shared" si="42"/>
        <v>0</v>
      </c>
      <c r="CS35">
        <f t="shared" si="43"/>
        <v>0</v>
      </c>
      <c r="CT35">
        <f t="shared" si="44"/>
        <v>4012.28</v>
      </c>
      <c r="CU35">
        <f t="shared" si="45"/>
        <v>0</v>
      </c>
      <c r="CV35">
        <f t="shared" si="46"/>
        <v>24.15</v>
      </c>
      <c r="CW35">
        <f t="shared" si="47"/>
        <v>0</v>
      </c>
      <c r="CX35">
        <f t="shared" si="48"/>
        <v>0</v>
      </c>
      <c r="CY35">
        <f t="shared" si="49"/>
        <v>505.54700000000003</v>
      </c>
      <c r="CZ35">
        <f t="shared" si="50"/>
        <v>72.221000000000004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52</v>
      </c>
      <c r="DW35" t="s">
        <v>52</v>
      </c>
      <c r="DX35">
        <v>100</v>
      </c>
      <c r="EE35">
        <v>42346695</v>
      </c>
      <c r="EF35">
        <v>1</v>
      </c>
      <c r="EG35" t="s">
        <v>20</v>
      </c>
      <c r="EH35">
        <v>0</v>
      </c>
      <c r="EI35" t="s">
        <v>3</v>
      </c>
      <c r="EJ35">
        <v>4</v>
      </c>
      <c r="EK35">
        <v>0</v>
      </c>
      <c r="EL35" t="s">
        <v>21</v>
      </c>
      <c r="EM35" t="s">
        <v>22</v>
      </c>
      <c r="EO35" t="s">
        <v>3</v>
      </c>
      <c r="EQ35">
        <v>0</v>
      </c>
      <c r="ER35">
        <v>12599.57</v>
      </c>
      <c r="ES35">
        <v>8587.2900000000009</v>
      </c>
      <c r="ET35">
        <v>0</v>
      </c>
      <c r="EU35">
        <v>0</v>
      </c>
      <c r="EV35">
        <v>4012.28</v>
      </c>
      <c r="EW35">
        <v>24.15</v>
      </c>
      <c r="EX35">
        <v>0</v>
      </c>
      <c r="EY35">
        <v>0</v>
      </c>
      <c r="FQ35">
        <v>0</v>
      </c>
      <c r="FR35">
        <f t="shared" si="51"/>
        <v>0</v>
      </c>
      <c r="FS35">
        <v>0</v>
      </c>
      <c r="FX35">
        <v>70</v>
      </c>
      <c r="FY35">
        <v>10</v>
      </c>
      <c r="GA35" t="s">
        <v>3</v>
      </c>
      <c r="GD35">
        <v>0</v>
      </c>
      <c r="GF35">
        <v>1973062051</v>
      </c>
      <c r="GG35">
        <v>2</v>
      </c>
      <c r="GH35">
        <v>1</v>
      </c>
      <c r="GI35">
        <v>-2</v>
      </c>
      <c r="GJ35">
        <v>0</v>
      </c>
      <c r="GK35">
        <f>ROUND(R35*(R12)/100,2)</f>
        <v>0</v>
      </c>
      <c r="GL35">
        <f t="shared" si="52"/>
        <v>0</v>
      </c>
      <c r="GM35">
        <f t="shared" si="53"/>
        <v>2845.69</v>
      </c>
      <c r="GN35">
        <f t="shared" si="54"/>
        <v>0</v>
      </c>
      <c r="GO35">
        <f t="shared" si="55"/>
        <v>0</v>
      </c>
      <c r="GP35">
        <f t="shared" si="56"/>
        <v>2845.69</v>
      </c>
      <c r="GR35">
        <v>0</v>
      </c>
      <c r="GS35">
        <v>3</v>
      </c>
      <c r="GT35">
        <v>0</v>
      </c>
      <c r="GU35" t="s">
        <v>3</v>
      </c>
      <c r="GV35">
        <f t="shared" si="57"/>
        <v>0</v>
      </c>
      <c r="GW35">
        <v>1</v>
      </c>
      <c r="GX35">
        <f t="shared" si="58"/>
        <v>0</v>
      </c>
      <c r="HA35">
        <v>0</v>
      </c>
      <c r="HB35">
        <v>0</v>
      </c>
      <c r="IK35">
        <v>0</v>
      </c>
    </row>
    <row r="36" spans="1:245" x14ac:dyDescent="0.2">
      <c r="A36">
        <v>18</v>
      </c>
      <c r="B36">
        <v>1</v>
      </c>
      <c r="C36">
        <v>40</v>
      </c>
      <c r="E36" t="s">
        <v>54</v>
      </c>
      <c r="F36" t="s">
        <v>55</v>
      </c>
      <c r="G36" t="s">
        <v>56</v>
      </c>
      <c r="H36" t="s">
        <v>57</v>
      </c>
      <c r="I36">
        <f>I35*J36</f>
        <v>-40.32</v>
      </c>
      <c r="J36">
        <v>-224</v>
      </c>
      <c r="O36">
        <f t="shared" si="21"/>
        <v>-1534.18</v>
      </c>
      <c r="P36">
        <f t="shared" si="22"/>
        <v>-1534.18</v>
      </c>
      <c r="Q36">
        <f t="shared" si="23"/>
        <v>0</v>
      </c>
      <c r="R36">
        <f t="shared" si="24"/>
        <v>0</v>
      </c>
      <c r="S36">
        <f t="shared" si="25"/>
        <v>0</v>
      </c>
      <c r="T36">
        <f t="shared" si="26"/>
        <v>0</v>
      </c>
      <c r="U36">
        <f t="shared" si="27"/>
        <v>0</v>
      </c>
      <c r="V36">
        <f t="shared" si="28"/>
        <v>0</v>
      </c>
      <c r="W36">
        <f t="shared" si="29"/>
        <v>0</v>
      </c>
      <c r="X36">
        <f t="shared" si="30"/>
        <v>0</v>
      </c>
      <c r="Y36">
        <f t="shared" si="31"/>
        <v>0</v>
      </c>
      <c r="AA36">
        <v>42387469</v>
      </c>
      <c r="AB36">
        <f t="shared" si="32"/>
        <v>38.049999999999997</v>
      </c>
      <c r="AC36">
        <f t="shared" si="33"/>
        <v>38.049999999999997</v>
      </c>
      <c r="AD36">
        <f t="shared" si="34"/>
        <v>0</v>
      </c>
      <c r="AE36">
        <f t="shared" si="35"/>
        <v>0</v>
      </c>
      <c r="AF36">
        <f t="shared" si="59"/>
        <v>0</v>
      </c>
      <c r="AG36">
        <f t="shared" si="36"/>
        <v>0</v>
      </c>
      <c r="AH36">
        <f t="shared" si="37"/>
        <v>0</v>
      </c>
      <c r="AI36">
        <f t="shared" si="38"/>
        <v>0</v>
      </c>
      <c r="AJ36">
        <f t="shared" si="39"/>
        <v>0</v>
      </c>
      <c r="AK36">
        <v>38.049999999999997</v>
      </c>
      <c r="AL36">
        <v>38.049999999999997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70</v>
      </c>
      <c r="AU36">
        <v>10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3</v>
      </c>
      <c r="BI36">
        <v>4</v>
      </c>
      <c r="BJ36" t="s">
        <v>58</v>
      </c>
      <c r="BM36">
        <v>0</v>
      </c>
      <c r="BN36">
        <v>0</v>
      </c>
      <c r="BO36" t="s">
        <v>3</v>
      </c>
      <c r="BP36">
        <v>0</v>
      </c>
      <c r="BQ36">
        <v>1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70</v>
      </c>
      <c r="CA36">
        <v>10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0"/>
        <v>-1534.18</v>
      </c>
      <c r="CQ36">
        <f t="shared" si="41"/>
        <v>38.049999999999997</v>
      </c>
      <c r="CR36">
        <f t="shared" si="42"/>
        <v>0</v>
      </c>
      <c r="CS36">
        <f t="shared" si="43"/>
        <v>0</v>
      </c>
      <c r="CT36">
        <f t="shared" si="44"/>
        <v>0</v>
      </c>
      <c r="CU36">
        <f t="shared" si="45"/>
        <v>0</v>
      </c>
      <c r="CV36">
        <f t="shared" si="46"/>
        <v>0</v>
      </c>
      <c r="CW36">
        <f t="shared" si="47"/>
        <v>0</v>
      </c>
      <c r="CX36">
        <f t="shared" si="48"/>
        <v>0</v>
      </c>
      <c r="CY36">
        <f t="shared" si="49"/>
        <v>0</v>
      </c>
      <c r="CZ36">
        <f t="shared" si="50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1003</v>
      </c>
      <c r="DV36" t="s">
        <v>57</v>
      </c>
      <c r="DW36" t="s">
        <v>57</v>
      </c>
      <c r="DX36">
        <v>1</v>
      </c>
      <c r="EE36">
        <v>42346695</v>
      </c>
      <c r="EF36">
        <v>1</v>
      </c>
      <c r="EG36" t="s">
        <v>20</v>
      </c>
      <c r="EH36">
        <v>0</v>
      </c>
      <c r="EI36" t="s">
        <v>3</v>
      </c>
      <c r="EJ36">
        <v>4</v>
      </c>
      <c r="EK36">
        <v>0</v>
      </c>
      <c r="EL36" t="s">
        <v>21</v>
      </c>
      <c r="EM36" t="s">
        <v>22</v>
      </c>
      <c r="EO36" t="s">
        <v>3</v>
      </c>
      <c r="EQ36">
        <v>0</v>
      </c>
      <c r="ER36">
        <v>38.049999999999997</v>
      </c>
      <c r="ES36">
        <v>38.049999999999997</v>
      </c>
      <c r="ET36">
        <v>0</v>
      </c>
      <c r="EU36">
        <v>0</v>
      </c>
      <c r="EV36">
        <v>0</v>
      </c>
      <c r="EW36">
        <v>0</v>
      </c>
      <c r="EX36">
        <v>0</v>
      </c>
      <c r="FQ36">
        <v>0</v>
      </c>
      <c r="FR36">
        <f t="shared" si="51"/>
        <v>0</v>
      </c>
      <c r="FS36">
        <v>0</v>
      </c>
      <c r="FX36">
        <v>70</v>
      </c>
      <c r="FY36">
        <v>10</v>
      </c>
      <c r="GA36" t="s">
        <v>3</v>
      </c>
      <c r="GD36">
        <v>0</v>
      </c>
      <c r="GF36">
        <v>-17248488</v>
      </c>
      <c r="GG36">
        <v>2</v>
      </c>
      <c r="GH36">
        <v>1</v>
      </c>
      <c r="GI36">
        <v>-2</v>
      </c>
      <c r="GJ36">
        <v>0</v>
      </c>
      <c r="GK36">
        <f>ROUND(R36*(R12)/100,2)</f>
        <v>0</v>
      </c>
      <c r="GL36">
        <f t="shared" si="52"/>
        <v>0</v>
      </c>
      <c r="GM36">
        <f t="shared" si="53"/>
        <v>-1534.18</v>
      </c>
      <c r="GN36">
        <f t="shared" si="54"/>
        <v>0</v>
      </c>
      <c r="GO36">
        <f t="shared" si="55"/>
        <v>0</v>
      </c>
      <c r="GP36">
        <f t="shared" si="56"/>
        <v>-1534.18</v>
      </c>
      <c r="GR36">
        <v>0</v>
      </c>
      <c r="GS36">
        <v>3</v>
      </c>
      <c r="GT36">
        <v>0</v>
      </c>
      <c r="GU36" t="s">
        <v>3</v>
      </c>
      <c r="GV36">
        <f t="shared" si="57"/>
        <v>0</v>
      </c>
      <c r="GW36">
        <v>1</v>
      </c>
      <c r="GX36">
        <f t="shared" si="58"/>
        <v>0</v>
      </c>
      <c r="HA36">
        <v>0</v>
      </c>
      <c r="HB36">
        <v>0</v>
      </c>
      <c r="IK36">
        <v>0</v>
      </c>
    </row>
    <row r="37" spans="1:245" x14ac:dyDescent="0.2">
      <c r="A37">
        <v>18</v>
      </c>
      <c r="B37">
        <v>1</v>
      </c>
      <c r="C37">
        <v>38</v>
      </c>
      <c r="E37" t="s">
        <v>59</v>
      </c>
      <c r="F37" t="s">
        <v>60</v>
      </c>
      <c r="G37" t="s">
        <v>61</v>
      </c>
      <c r="H37" t="s">
        <v>57</v>
      </c>
      <c r="I37">
        <f>I35*J37</f>
        <v>40.32</v>
      </c>
      <c r="J37">
        <v>224</v>
      </c>
      <c r="O37">
        <f t="shared" si="21"/>
        <v>1551.51</v>
      </c>
      <c r="P37">
        <f t="shared" si="22"/>
        <v>1551.51</v>
      </c>
      <c r="Q37">
        <f t="shared" si="23"/>
        <v>0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0</v>
      </c>
      <c r="X37">
        <f t="shared" si="30"/>
        <v>0</v>
      </c>
      <c r="Y37">
        <f t="shared" si="31"/>
        <v>0</v>
      </c>
      <c r="AA37">
        <v>42387469</v>
      </c>
      <c r="AB37">
        <f t="shared" si="32"/>
        <v>38.479999999999997</v>
      </c>
      <c r="AC37">
        <f t="shared" si="33"/>
        <v>38.479999999999997</v>
      </c>
      <c r="AD37">
        <f t="shared" si="34"/>
        <v>0</v>
      </c>
      <c r="AE37">
        <f t="shared" si="35"/>
        <v>0</v>
      </c>
      <c r="AF37">
        <f t="shared" si="59"/>
        <v>0</v>
      </c>
      <c r="AG37">
        <f t="shared" si="36"/>
        <v>0</v>
      </c>
      <c r="AH37">
        <f t="shared" si="37"/>
        <v>0</v>
      </c>
      <c r="AI37">
        <f t="shared" si="38"/>
        <v>0</v>
      </c>
      <c r="AJ37">
        <f t="shared" si="39"/>
        <v>0</v>
      </c>
      <c r="AK37">
        <v>38.479999999999997</v>
      </c>
      <c r="AL37">
        <v>38.479999999999997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70</v>
      </c>
      <c r="AU37">
        <v>10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4</v>
      </c>
      <c r="BJ37" t="s">
        <v>62</v>
      </c>
      <c r="BM37">
        <v>0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70</v>
      </c>
      <c r="CA37">
        <v>10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0"/>
        <v>1551.51</v>
      </c>
      <c r="CQ37">
        <f t="shared" si="41"/>
        <v>38.479999999999997</v>
      </c>
      <c r="CR37">
        <f t="shared" si="42"/>
        <v>0</v>
      </c>
      <c r="CS37">
        <f t="shared" si="43"/>
        <v>0</v>
      </c>
      <c r="CT37">
        <f t="shared" si="44"/>
        <v>0</v>
      </c>
      <c r="CU37">
        <f t="shared" si="45"/>
        <v>0</v>
      </c>
      <c r="CV37">
        <f t="shared" si="46"/>
        <v>0</v>
      </c>
      <c r="CW37">
        <f t="shared" si="47"/>
        <v>0</v>
      </c>
      <c r="CX37">
        <f t="shared" si="48"/>
        <v>0</v>
      </c>
      <c r="CY37">
        <f t="shared" si="49"/>
        <v>0</v>
      </c>
      <c r="CZ37">
        <f t="shared" si="50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57</v>
      </c>
      <c r="DW37" t="s">
        <v>57</v>
      </c>
      <c r="DX37">
        <v>1</v>
      </c>
      <c r="EE37">
        <v>42346695</v>
      </c>
      <c r="EF37">
        <v>1</v>
      </c>
      <c r="EG37" t="s">
        <v>20</v>
      </c>
      <c r="EH37">
        <v>0</v>
      </c>
      <c r="EI37" t="s">
        <v>3</v>
      </c>
      <c r="EJ37">
        <v>4</v>
      </c>
      <c r="EK37">
        <v>0</v>
      </c>
      <c r="EL37" t="s">
        <v>21</v>
      </c>
      <c r="EM37" t="s">
        <v>22</v>
      </c>
      <c r="EO37" t="s">
        <v>3</v>
      </c>
      <c r="EQ37">
        <v>0</v>
      </c>
      <c r="ER37">
        <v>38.479999999999997</v>
      </c>
      <c r="ES37">
        <v>38.479999999999997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51"/>
        <v>0</v>
      </c>
      <c r="FS37">
        <v>0</v>
      </c>
      <c r="FX37">
        <v>70</v>
      </c>
      <c r="FY37">
        <v>10</v>
      </c>
      <c r="GA37" t="s">
        <v>3</v>
      </c>
      <c r="GD37">
        <v>0</v>
      </c>
      <c r="GF37">
        <v>-1163454990</v>
      </c>
      <c r="GG37">
        <v>2</v>
      </c>
      <c r="GH37">
        <v>1</v>
      </c>
      <c r="GI37">
        <v>-2</v>
      </c>
      <c r="GJ37">
        <v>0</v>
      </c>
      <c r="GK37">
        <f>ROUND(R37*(R12)/100,2)</f>
        <v>0</v>
      </c>
      <c r="GL37">
        <f t="shared" si="52"/>
        <v>0</v>
      </c>
      <c r="GM37">
        <f t="shared" si="53"/>
        <v>1551.51</v>
      </c>
      <c r="GN37">
        <f t="shared" si="54"/>
        <v>0</v>
      </c>
      <c r="GO37">
        <f t="shared" si="55"/>
        <v>0</v>
      </c>
      <c r="GP37">
        <f t="shared" si="56"/>
        <v>1551.51</v>
      </c>
      <c r="GR37">
        <v>0</v>
      </c>
      <c r="GS37">
        <v>3</v>
      </c>
      <c r="GT37">
        <v>0</v>
      </c>
      <c r="GU37" t="s">
        <v>3</v>
      </c>
      <c r="GV37">
        <f t="shared" si="57"/>
        <v>0</v>
      </c>
      <c r="GW37">
        <v>1</v>
      </c>
      <c r="GX37">
        <f t="shared" si="58"/>
        <v>0</v>
      </c>
      <c r="HA37">
        <v>0</v>
      </c>
      <c r="HB37">
        <v>0</v>
      </c>
      <c r="IK37">
        <v>0</v>
      </c>
    </row>
    <row r="38" spans="1:245" x14ac:dyDescent="0.2">
      <c r="A38">
        <v>17</v>
      </c>
      <c r="B38">
        <v>1</v>
      </c>
      <c r="C38">
        <f>ROW(SmtRes!A45)</f>
        <v>45</v>
      </c>
      <c r="D38">
        <f>ROW(EtalonRes!A42)</f>
        <v>42</v>
      </c>
      <c r="E38" t="s">
        <v>63</v>
      </c>
      <c r="F38" t="s">
        <v>64</v>
      </c>
      <c r="G38" t="s">
        <v>65</v>
      </c>
      <c r="H38" t="s">
        <v>17</v>
      </c>
      <c r="I38">
        <f>ROUND(40/100,9)</f>
        <v>0.4</v>
      </c>
      <c r="J38">
        <v>0</v>
      </c>
      <c r="O38">
        <f t="shared" si="21"/>
        <v>26606.37</v>
      </c>
      <c r="P38">
        <f t="shared" si="22"/>
        <v>21746.32</v>
      </c>
      <c r="Q38">
        <f t="shared" si="23"/>
        <v>9.76</v>
      </c>
      <c r="R38">
        <f t="shared" si="24"/>
        <v>1.46</v>
      </c>
      <c r="S38">
        <f t="shared" si="25"/>
        <v>4850.29</v>
      </c>
      <c r="T38">
        <f t="shared" si="26"/>
        <v>0</v>
      </c>
      <c r="U38">
        <f t="shared" si="27"/>
        <v>27.648000000000003</v>
      </c>
      <c r="V38">
        <f t="shared" si="28"/>
        <v>0</v>
      </c>
      <c r="W38">
        <f t="shared" si="29"/>
        <v>0</v>
      </c>
      <c r="X38">
        <f t="shared" si="30"/>
        <v>3395.2</v>
      </c>
      <c r="Y38">
        <f t="shared" si="31"/>
        <v>485.03</v>
      </c>
      <c r="AA38">
        <v>42387469</v>
      </c>
      <c r="AB38">
        <f t="shared" si="32"/>
        <v>66515.92</v>
      </c>
      <c r="AC38">
        <f t="shared" si="33"/>
        <v>54365.81</v>
      </c>
      <c r="AD38">
        <f t="shared" si="34"/>
        <v>24.39</v>
      </c>
      <c r="AE38">
        <f t="shared" si="35"/>
        <v>3.66</v>
      </c>
      <c r="AF38">
        <f t="shared" si="59"/>
        <v>12125.72</v>
      </c>
      <c r="AG38">
        <f t="shared" si="36"/>
        <v>0</v>
      </c>
      <c r="AH38">
        <f t="shared" si="37"/>
        <v>69.12</v>
      </c>
      <c r="AI38">
        <f t="shared" si="38"/>
        <v>0</v>
      </c>
      <c r="AJ38">
        <f t="shared" si="39"/>
        <v>0</v>
      </c>
      <c r="AK38">
        <v>66515.92</v>
      </c>
      <c r="AL38">
        <v>54365.81</v>
      </c>
      <c r="AM38">
        <v>24.39</v>
      </c>
      <c r="AN38">
        <v>3.66</v>
      </c>
      <c r="AO38">
        <v>12125.72</v>
      </c>
      <c r="AP38">
        <v>0</v>
      </c>
      <c r="AQ38">
        <v>69.12</v>
      </c>
      <c r="AR38">
        <v>0</v>
      </c>
      <c r="AS38">
        <v>0</v>
      </c>
      <c r="AT38">
        <v>70</v>
      </c>
      <c r="AU38">
        <v>10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4</v>
      </c>
      <c r="BJ38" t="s">
        <v>66</v>
      </c>
      <c r="BM38">
        <v>0</v>
      </c>
      <c r="BN38">
        <v>0</v>
      </c>
      <c r="BO38" t="s">
        <v>3</v>
      </c>
      <c r="BP38">
        <v>0</v>
      </c>
      <c r="BQ38">
        <v>1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70</v>
      </c>
      <c r="CA38">
        <v>10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0"/>
        <v>26606.37</v>
      </c>
      <c r="CQ38">
        <f t="shared" si="41"/>
        <v>54365.81</v>
      </c>
      <c r="CR38">
        <f t="shared" si="42"/>
        <v>24.39</v>
      </c>
      <c r="CS38">
        <f t="shared" si="43"/>
        <v>3.66</v>
      </c>
      <c r="CT38">
        <f t="shared" si="44"/>
        <v>12125.72</v>
      </c>
      <c r="CU38">
        <f t="shared" si="45"/>
        <v>0</v>
      </c>
      <c r="CV38">
        <f t="shared" si="46"/>
        <v>69.12</v>
      </c>
      <c r="CW38">
        <f t="shared" si="47"/>
        <v>0</v>
      </c>
      <c r="CX38">
        <f t="shared" si="48"/>
        <v>0</v>
      </c>
      <c r="CY38">
        <f t="shared" si="49"/>
        <v>3395.203</v>
      </c>
      <c r="CZ38">
        <f t="shared" si="50"/>
        <v>485.029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1005</v>
      </c>
      <c r="DV38" t="s">
        <v>17</v>
      </c>
      <c r="DW38" t="s">
        <v>17</v>
      </c>
      <c r="DX38">
        <v>100</v>
      </c>
      <c r="EE38">
        <v>42346695</v>
      </c>
      <c r="EF38">
        <v>1</v>
      </c>
      <c r="EG38" t="s">
        <v>20</v>
      </c>
      <c r="EH38">
        <v>0</v>
      </c>
      <c r="EI38" t="s">
        <v>3</v>
      </c>
      <c r="EJ38">
        <v>4</v>
      </c>
      <c r="EK38">
        <v>0</v>
      </c>
      <c r="EL38" t="s">
        <v>21</v>
      </c>
      <c r="EM38" t="s">
        <v>22</v>
      </c>
      <c r="EO38" t="s">
        <v>3</v>
      </c>
      <c r="EQ38">
        <v>0</v>
      </c>
      <c r="ER38">
        <v>66515.92</v>
      </c>
      <c r="ES38">
        <v>54365.81</v>
      </c>
      <c r="ET38">
        <v>24.39</v>
      </c>
      <c r="EU38">
        <v>3.66</v>
      </c>
      <c r="EV38">
        <v>12125.72</v>
      </c>
      <c r="EW38">
        <v>69.12</v>
      </c>
      <c r="EX38">
        <v>0</v>
      </c>
      <c r="EY38">
        <v>0</v>
      </c>
      <c r="FQ38">
        <v>0</v>
      </c>
      <c r="FR38">
        <f t="shared" si="51"/>
        <v>0</v>
      </c>
      <c r="FS38">
        <v>0</v>
      </c>
      <c r="FX38">
        <v>70</v>
      </c>
      <c r="FY38">
        <v>10</v>
      </c>
      <c r="GA38" t="s">
        <v>3</v>
      </c>
      <c r="GD38">
        <v>0</v>
      </c>
      <c r="GF38">
        <v>1810283368</v>
      </c>
      <c r="GG38">
        <v>2</v>
      </c>
      <c r="GH38">
        <v>1</v>
      </c>
      <c r="GI38">
        <v>-2</v>
      </c>
      <c r="GJ38">
        <v>0</v>
      </c>
      <c r="GK38">
        <f>ROUND(R38*(R12)/100,2)</f>
        <v>1.58</v>
      </c>
      <c r="GL38">
        <f t="shared" si="52"/>
        <v>0</v>
      </c>
      <c r="GM38">
        <f t="shared" si="53"/>
        <v>30488.18</v>
      </c>
      <c r="GN38">
        <f t="shared" si="54"/>
        <v>0</v>
      </c>
      <c r="GO38">
        <f t="shared" si="55"/>
        <v>0</v>
      </c>
      <c r="GP38">
        <f t="shared" si="56"/>
        <v>30488.18</v>
      </c>
      <c r="GR38">
        <v>0</v>
      </c>
      <c r="GS38">
        <v>3</v>
      </c>
      <c r="GT38">
        <v>0</v>
      </c>
      <c r="GU38" t="s">
        <v>3</v>
      </c>
      <c r="GV38">
        <f t="shared" si="57"/>
        <v>0</v>
      </c>
      <c r="GW38">
        <v>1</v>
      </c>
      <c r="GX38">
        <f t="shared" si="58"/>
        <v>0</v>
      </c>
      <c r="HA38">
        <v>0</v>
      </c>
      <c r="HB38">
        <v>0</v>
      </c>
      <c r="IK38">
        <v>0</v>
      </c>
    </row>
    <row r="39" spans="1:245" x14ac:dyDescent="0.2">
      <c r="A39">
        <v>18</v>
      </c>
      <c r="B39">
        <v>1</v>
      </c>
      <c r="C39">
        <v>45</v>
      </c>
      <c r="E39" t="s">
        <v>67</v>
      </c>
      <c r="F39" t="s">
        <v>68</v>
      </c>
      <c r="G39" t="s">
        <v>69</v>
      </c>
      <c r="H39" t="s">
        <v>70</v>
      </c>
      <c r="I39">
        <f>I38*J39</f>
        <v>-1.484</v>
      </c>
      <c r="J39">
        <v>-3.71</v>
      </c>
      <c r="O39">
        <f t="shared" si="21"/>
        <v>-21269.96</v>
      </c>
      <c r="P39">
        <f t="shared" si="22"/>
        <v>-21269.96</v>
      </c>
      <c r="Q39">
        <f t="shared" si="23"/>
        <v>0</v>
      </c>
      <c r="R39">
        <f t="shared" si="24"/>
        <v>0</v>
      </c>
      <c r="S39">
        <f t="shared" si="25"/>
        <v>0</v>
      </c>
      <c r="T39">
        <f t="shared" si="26"/>
        <v>0</v>
      </c>
      <c r="U39">
        <f t="shared" si="27"/>
        <v>0</v>
      </c>
      <c r="V39">
        <f t="shared" si="28"/>
        <v>0</v>
      </c>
      <c r="W39">
        <f t="shared" si="29"/>
        <v>0</v>
      </c>
      <c r="X39">
        <f t="shared" si="30"/>
        <v>0</v>
      </c>
      <c r="Y39">
        <f t="shared" si="31"/>
        <v>0</v>
      </c>
      <c r="AA39">
        <v>42387469</v>
      </c>
      <c r="AB39">
        <f t="shared" si="32"/>
        <v>14332.86</v>
      </c>
      <c r="AC39">
        <f t="shared" si="33"/>
        <v>14332.86</v>
      </c>
      <c r="AD39">
        <f t="shared" si="34"/>
        <v>0</v>
      </c>
      <c r="AE39">
        <f t="shared" si="35"/>
        <v>0</v>
      </c>
      <c r="AF39">
        <f t="shared" si="59"/>
        <v>0</v>
      </c>
      <c r="AG39">
        <f t="shared" si="36"/>
        <v>0</v>
      </c>
      <c r="AH39">
        <f t="shared" si="37"/>
        <v>0</v>
      </c>
      <c r="AI39">
        <f t="shared" si="38"/>
        <v>0</v>
      </c>
      <c r="AJ39">
        <f t="shared" si="39"/>
        <v>0</v>
      </c>
      <c r="AK39">
        <v>14332.86</v>
      </c>
      <c r="AL39">
        <v>14332.86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70</v>
      </c>
      <c r="AU39">
        <v>10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4</v>
      </c>
      <c r="BJ39" t="s">
        <v>71</v>
      </c>
      <c r="BM39">
        <v>0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70</v>
      </c>
      <c r="CA39">
        <v>10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0"/>
        <v>-21269.96</v>
      </c>
      <c r="CQ39">
        <f t="shared" si="41"/>
        <v>14332.86</v>
      </c>
      <c r="CR39">
        <f t="shared" si="42"/>
        <v>0</v>
      </c>
      <c r="CS39">
        <f t="shared" si="43"/>
        <v>0</v>
      </c>
      <c r="CT39">
        <f t="shared" si="44"/>
        <v>0</v>
      </c>
      <c r="CU39">
        <f t="shared" si="45"/>
        <v>0</v>
      </c>
      <c r="CV39">
        <f t="shared" si="46"/>
        <v>0</v>
      </c>
      <c r="CW39">
        <f t="shared" si="47"/>
        <v>0</v>
      </c>
      <c r="CX39">
        <f t="shared" si="48"/>
        <v>0</v>
      </c>
      <c r="CY39">
        <f t="shared" si="49"/>
        <v>0</v>
      </c>
      <c r="CZ39">
        <f t="shared" si="50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70</v>
      </c>
      <c r="DW39" t="s">
        <v>70</v>
      </c>
      <c r="DX39">
        <v>1</v>
      </c>
      <c r="EE39">
        <v>42346695</v>
      </c>
      <c r="EF39">
        <v>1</v>
      </c>
      <c r="EG39" t="s">
        <v>20</v>
      </c>
      <c r="EH39">
        <v>0</v>
      </c>
      <c r="EI39" t="s">
        <v>3</v>
      </c>
      <c r="EJ39">
        <v>4</v>
      </c>
      <c r="EK39">
        <v>0</v>
      </c>
      <c r="EL39" t="s">
        <v>21</v>
      </c>
      <c r="EM39" t="s">
        <v>22</v>
      </c>
      <c r="EO39" t="s">
        <v>3</v>
      </c>
      <c r="EQ39">
        <v>0</v>
      </c>
      <c r="ER39">
        <v>14332.86</v>
      </c>
      <c r="ES39">
        <v>14332.86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51"/>
        <v>0</v>
      </c>
      <c r="FS39">
        <v>0</v>
      </c>
      <c r="FX39">
        <v>70</v>
      </c>
      <c r="FY39">
        <v>10</v>
      </c>
      <c r="GA39" t="s">
        <v>3</v>
      </c>
      <c r="GD39">
        <v>0</v>
      </c>
      <c r="GF39">
        <v>-1745976659</v>
      </c>
      <c r="GG39">
        <v>2</v>
      </c>
      <c r="GH39">
        <v>1</v>
      </c>
      <c r="GI39">
        <v>-2</v>
      </c>
      <c r="GJ39">
        <v>0</v>
      </c>
      <c r="GK39">
        <f>ROUND(R39*(R12)/100,2)</f>
        <v>0</v>
      </c>
      <c r="GL39">
        <f t="shared" si="52"/>
        <v>0</v>
      </c>
      <c r="GM39">
        <f t="shared" si="53"/>
        <v>-21269.96</v>
      </c>
      <c r="GN39">
        <f t="shared" si="54"/>
        <v>0</v>
      </c>
      <c r="GO39">
        <f t="shared" si="55"/>
        <v>0</v>
      </c>
      <c r="GP39">
        <f t="shared" si="56"/>
        <v>-21269.96</v>
      </c>
      <c r="GR39">
        <v>0</v>
      </c>
      <c r="GS39">
        <v>3</v>
      </c>
      <c r="GT39">
        <v>0</v>
      </c>
      <c r="GU39" t="s">
        <v>3</v>
      </c>
      <c r="GV39">
        <f t="shared" si="57"/>
        <v>0</v>
      </c>
      <c r="GW39">
        <v>1</v>
      </c>
      <c r="GX39">
        <f t="shared" si="58"/>
        <v>0</v>
      </c>
      <c r="HA39">
        <v>0</v>
      </c>
      <c r="HB39">
        <v>0</v>
      </c>
      <c r="IK39">
        <v>0</v>
      </c>
    </row>
    <row r="40" spans="1:245" x14ac:dyDescent="0.2">
      <c r="A40">
        <v>17</v>
      </c>
      <c r="B40">
        <v>1</v>
      </c>
      <c r="C40">
        <f>ROW(SmtRes!A58)</f>
        <v>58</v>
      </c>
      <c r="D40">
        <f>ROW(EtalonRes!A55)</f>
        <v>55</v>
      </c>
      <c r="E40" t="s">
        <v>72</v>
      </c>
      <c r="F40" t="s">
        <v>73</v>
      </c>
      <c r="G40" t="s">
        <v>74</v>
      </c>
      <c r="H40" t="s">
        <v>17</v>
      </c>
      <c r="I40">
        <f>ROUND(158/100,9)</f>
        <v>1.58</v>
      </c>
      <c r="J40">
        <v>0</v>
      </c>
      <c r="O40">
        <f t="shared" si="21"/>
        <v>117643.51</v>
      </c>
      <c r="P40">
        <f t="shared" si="22"/>
        <v>86982.84</v>
      </c>
      <c r="Q40">
        <f t="shared" si="23"/>
        <v>741.49</v>
      </c>
      <c r="R40">
        <f t="shared" si="24"/>
        <v>260.87</v>
      </c>
      <c r="S40">
        <f t="shared" si="25"/>
        <v>29919.18</v>
      </c>
      <c r="T40">
        <f t="shared" si="26"/>
        <v>0</v>
      </c>
      <c r="U40">
        <f t="shared" si="27"/>
        <v>150.8742</v>
      </c>
      <c r="V40">
        <f t="shared" si="28"/>
        <v>0</v>
      </c>
      <c r="W40">
        <f t="shared" si="29"/>
        <v>0</v>
      </c>
      <c r="X40">
        <f t="shared" si="30"/>
        <v>20943.43</v>
      </c>
      <c r="Y40">
        <f t="shared" si="31"/>
        <v>2991.92</v>
      </c>
      <c r="AA40">
        <v>42387469</v>
      </c>
      <c r="AB40">
        <f t="shared" si="32"/>
        <v>74457.919999999998</v>
      </c>
      <c r="AC40">
        <f t="shared" si="33"/>
        <v>55052.43</v>
      </c>
      <c r="AD40">
        <f t="shared" si="34"/>
        <v>469.3</v>
      </c>
      <c r="AE40">
        <f t="shared" si="35"/>
        <v>165.11</v>
      </c>
      <c r="AF40">
        <f t="shared" si="59"/>
        <v>18936.189999999999</v>
      </c>
      <c r="AG40">
        <f t="shared" si="36"/>
        <v>0</v>
      </c>
      <c r="AH40">
        <f t="shared" si="37"/>
        <v>95.49</v>
      </c>
      <c r="AI40">
        <f t="shared" si="38"/>
        <v>0</v>
      </c>
      <c r="AJ40">
        <f t="shared" si="39"/>
        <v>0</v>
      </c>
      <c r="AK40">
        <v>74457.919999999998</v>
      </c>
      <c r="AL40">
        <v>55052.43</v>
      </c>
      <c r="AM40">
        <v>469.3</v>
      </c>
      <c r="AN40">
        <v>165.11</v>
      </c>
      <c r="AO40">
        <v>18936.189999999999</v>
      </c>
      <c r="AP40">
        <v>0</v>
      </c>
      <c r="AQ40">
        <v>95.49</v>
      </c>
      <c r="AR40">
        <v>0</v>
      </c>
      <c r="AS40">
        <v>0</v>
      </c>
      <c r="AT40">
        <v>70</v>
      </c>
      <c r="AU40">
        <v>10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0</v>
      </c>
      <c r="BI40">
        <v>4</v>
      </c>
      <c r="BJ40" t="s">
        <v>75</v>
      </c>
      <c r="BM40">
        <v>0</v>
      </c>
      <c r="BN40">
        <v>0</v>
      </c>
      <c r="BO40" t="s">
        <v>3</v>
      </c>
      <c r="BP40">
        <v>0</v>
      </c>
      <c r="BQ40">
        <v>1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70</v>
      </c>
      <c r="CA40">
        <v>10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0"/>
        <v>117643.51000000001</v>
      </c>
      <c r="CQ40">
        <f t="shared" si="41"/>
        <v>55052.43</v>
      </c>
      <c r="CR40">
        <f t="shared" si="42"/>
        <v>469.3</v>
      </c>
      <c r="CS40">
        <f t="shared" si="43"/>
        <v>165.11</v>
      </c>
      <c r="CT40">
        <f t="shared" si="44"/>
        <v>18936.189999999999</v>
      </c>
      <c r="CU40">
        <f t="shared" si="45"/>
        <v>0</v>
      </c>
      <c r="CV40">
        <f t="shared" si="46"/>
        <v>95.49</v>
      </c>
      <c r="CW40">
        <f t="shared" si="47"/>
        <v>0</v>
      </c>
      <c r="CX40">
        <f t="shared" si="48"/>
        <v>0</v>
      </c>
      <c r="CY40">
        <f t="shared" si="49"/>
        <v>20943.425999999999</v>
      </c>
      <c r="CZ40">
        <f t="shared" si="50"/>
        <v>2991.9179999999997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1005</v>
      </c>
      <c r="DV40" t="s">
        <v>17</v>
      </c>
      <c r="DW40" t="s">
        <v>17</v>
      </c>
      <c r="DX40">
        <v>100</v>
      </c>
      <c r="EE40">
        <v>42346695</v>
      </c>
      <c r="EF40">
        <v>1</v>
      </c>
      <c r="EG40" t="s">
        <v>20</v>
      </c>
      <c r="EH40">
        <v>0</v>
      </c>
      <c r="EI40" t="s">
        <v>3</v>
      </c>
      <c r="EJ40">
        <v>4</v>
      </c>
      <c r="EK40">
        <v>0</v>
      </c>
      <c r="EL40" t="s">
        <v>21</v>
      </c>
      <c r="EM40" t="s">
        <v>22</v>
      </c>
      <c r="EO40" t="s">
        <v>3</v>
      </c>
      <c r="EQ40">
        <v>0</v>
      </c>
      <c r="ER40">
        <v>74457.919999999998</v>
      </c>
      <c r="ES40">
        <v>55052.43</v>
      </c>
      <c r="ET40">
        <v>469.3</v>
      </c>
      <c r="EU40">
        <v>165.11</v>
      </c>
      <c r="EV40">
        <v>18936.189999999999</v>
      </c>
      <c r="EW40">
        <v>95.49</v>
      </c>
      <c r="EX40">
        <v>0</v>
      </c>
      <c r="EY40">
        <v>0</v>
      </c>
      <c r="FQ40">
        <v>0</v>
      </c>
      <c r="FR40">
        <f t="shared" si="51"/>
        <v>0</v>
      </c>
      <c r="FS40">
        <v>0</v>
      </c>
      <c r="FX40">
        <v>70</v>
      </c>
      <c r="FY40">
        <v>10</v>
      </c>
      <c r="GA40" t="s">
        <v>3</v>
      </c>
      <c r="GD40">
        <v>0</v>
      </c>
      <c r="GF40">
        <v>-1555085249</v>
      </c>
      <c r="GG40">
        <v>2</v>
      </c>
      <c r="GH40">
        <v>1</v>
      </c>
      <c r="GI40">
        <v>-2</v>
      </c>
      <c r="GJ40">
        <v>0</v>
      </c>
      <c r="GK40">
        <f>ROUND(R40*(R12)/100,2)</f>
        <v>281.74</v>
      </c>
      <c r="GL40">
        <f t="shared" si="52"/>
        <v>0</v>
      </c>
      <c r="GM40">
        <f t="shared" si="53"/>
        <v>141860.6</v>
      </c>
      <c r="GN40">
        <f t="shared" si="54"/>
        <v>0</v>
      </c>
      <c r="GO40">
        <f t="shared" si="55"/>
        <v>0</v>
      </c>
      <c r="GP40">
        <f t="shared" si="56"/>
        <v>141860.6</v>
      </c>
      <c r="GR40">
        <v>0</v>
      </c>
      <c r="GS40">
        <v>3</v>
      </c>
      <c r="GT40">
        <v>0</v>
      </c>
      <c r="GU40" t="s">
        <v>3</v>
      </c>
      <c r="GV40">
        <f t="shared" si="57"/>
        <v>0</v>
      </c>
      <c r="GW40">
        <v>1</v>
      </c>
      <c r="GX40">
        <f t="shared" si="58"/>
        <v>0</v>
      </c>
      <c r="HA40">
        <v>0</v>
      </c>
      <c r="HB40">
        <v>0</v>
      </c>
      <c r="IK40">
        <v>0</v>
      </c>
    </row>
    <row r="42" spans="1:245" x14ac:dyDescent="0.2">
      <c r="A42" s="2">
        <v>51</v>
      </c>
      <c r="B42" s="2">
        <f>B24</f>
        <v>1</v>
      </c>
      <c r="C42" s="2">
        <f>A24</f>
        <v>4</v>
      </c>
      <c r="D42" s="2">
        <f>ROW(A24)</f>
        <v>24</v>
      </c>
      <c r="E42" s="2"/>
      <c r="F42" s="2" t="str">
        <f>IF(F24&lt;&gt;"",F24,"")</f>
        <v>Новый раздел</v>
      </c>
      <c r="G42" s="2" t="str">
        <f>IF(G24&lt;&gt;"",G24,"")</f>
        <v>Спортзал.</v>
      </c>
      <c r="H42" s="2">
        <v>0</v>
      </c>
      <c r="I42" s="2"/>
      <c r="J42" s="2"/>
      <c r="K42" s="2"/>
      <c r="L42" s="2"/>
      <c r="M42" s="2"/>
      <c r="N42" s="2"/>
      <c r="O42" s="2">
        <f t="shared" ref="O42:T42" si="60">ROUND(AB42,2)</f>
        <v>169507.84</v>
      </c>
      <c r="P42" s="2">
        <f t="shared" si="60"/>
        <v>106819.97</v>
      </c>
      <c r="Q42" s="2">
        <f t="shared" si="60"/>
        <v>1462.1</v>
      </c>
      <c r="R42" s="2">
        <f t="shared" si="60"/>
        <v>703.52</v>
      </c>
      <c r="S42" s="2">
        <f t="shared" si="60"/>
        <v>61225.77</v>
      </c>
      <c r="T42" s="2">
        <f t="shared" si="60"/>
        <v>0</v>
      </c>
      <c r="U42" s="2">
        <f>AH42</f>
        <v>310.19205999999997</v>
      </c>
      <c r="V42" s="2">
        <f>AI42</f>
        <v>0</v>
      </c>
      <c r="W42" s="2">
        <f>ROUND(AJ42,2)</f>
        <v>0</v>
      </c>
      <c r="X42" s="2">
        <f>ROUND(AK42,2)</f>
        <v>42858.03</v>
      </c>
      <c r="Y42" s="2">
        <f>ROUND(AL42,2)</f>
        <v>6122.59</v>
      </c>
      <c r="Z42" s="2"/>
      <c r="AA42" s="2"/>
      <c r="AB42" s="2">
        <f>ROUND(SUMIF(AA28:AA40,"=42387469",O28:O40),2)</f>
        <v>169507.84</v>
      </c>
      <c r="AC42" s="2">
        <f>ROUND(SUMIF(AA28:AA40,"=42387469",P28:P40),2)</f>
        <v>106819.97</v>
      </c>
      <c r="AD42" s="2">
        <f>ROUND(SUMIF(AA28:AA40,"=42387469",Q28:Q40),2)</f>
        <v>1462.1</v>
      </c>
      <c r="AE42" s="2">
        <f>ROUND(SUMIF(AA28:AA40,"=42387469",R28:R40),2)</f>
        <v>703.52</v>
      </c>
      <c r="AF42" s="2">
        <f>ROUND(SUMIF(AA28:AA40,"=42387469",S28:S40),2)</f>
        <v>61225.77</v>
      </c>
      <c r="AG42" s="2">
        <f>ROUND(SUMIF(AA28:AA40,"=42387469",T28:T40),2)</f>
        <v>0</v>
      </c>
      <c r="AH42" s="2">
        <f>SUMIF(AA28:AA40,"=42387469",U28:U40)</f>
        <v>310.19205999999997</v>
      </c>
      <c r="AI42" s="2">
        <f>SUMIF(AA28:AA40,"=42387469",V28:V40)</f>
        <v>0</v>
      </c>
      <c r="AJ42" s="2">
        <f>ROUND(SUMIF(AA28:AA40,"=42387469",W28:W40),2)</f>
        <v>0</v>
      </c>
      <c r="AK42" s="2">
        <f>ROUND(SUMIF(AA28:AA40,"=42387469",X28:X40),2)</f>
        <v>42858.03</v>
      </c>
      <c r="AL42" s="2">
        <f>ROUND(SUMIF(AA28:AA40,"=42387469",Y28:Y40),2)</f>
        <v>6122.59</v>
      </c>
      <c r="AM42" s="2"/>
      <c r="AN42" s="2"/>
      <c r="AO42" s="2">
        <f t="shared" ref="AO42:BC42" si="61">ROUND(BX42,2)</f>
        <v>0</v>
      </c>
      <c r="AP42" s="2">
        <f t="shared" si="61"/>
        <v>0</v>
      </c>
      <c r="AQ42" s="2">
        <f t="shared" si="61"/>
        <v>0</v>
      </c>
      <c r="AR42" s="2">
        <f t="shared" si="61"/>
        <v>219248.26</v>
      </c>
      <c r="AS42" s="2">
        <f t="shared" si="61"/>
        <v>0</v>
      </c>
      <c r="AT42" s="2">
        <f t="shared" si="61"/>
        <v>0</v>
      </c>
      <c r="AU42" s="2">
        <f t="shared" si="61"/>
        <v>219248.26</v>
      </c>
      <c r="AV42" s="2">
        <f t="shared" si="61"/>
        <v>106819.97</v>
      </c>
      <c r="AW42" s="2">
        <f t="shared" si="61"/>
        <v>106819.97</v>
      </c>
      <c r="AX42" s="2">
        <f t="shared" si="61"/>
        <v>0</v>
      </c>
      <c r="AY42" s="2">
        <f t="shared" si="61"/>
        <v>106819.97</v>
      </c>
      <c r="AZ42" s="2">
        <f t="shared" si="61"/>
        <v>0</v>
      </c>
      <c r="BA42" s="2">
        <f t="shared" si="61"/>
        <v>0</v>
      </c>
      <c r="BB42" s="2">
        <f t="shared" si="61"/>
        <v>0</v>
      </c>
      <c r="BC42" s="2">
        <f t="shared" si="61"/>
        <v>0</v>
      </c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>
        <f>ROUND(SUMIF(AA28:AA40,"=42387469",FQ28:FQ40),2)</f>
        <v>0</v>
      </c>
      <c r="BY42" s="2">
        <f>ROUND(SUMIF(AA28:AA40,"=42387469",FR28:FR40),2)</f>
        <v>0</v>
      </c>
      <c r="BZ42" s="2">
        <f>ROUND(SUMIF(AA28:AA40,"=42387469",GL28:GL40),2)</f>
        <v>0</v>
      </c>
      <c r="CA42" s="2">
        <f>ROUND(SUMIF(AA28:AA40,"=42387469",GM28:GM40),2)</f>
        <v>219248.26</v>
      </c>
      <c r="CB42" s="2">
        <f>ROUND(SUMIF(AA28:AA40,"=42387469",GN28:GN40),2)</f>
        <v>0</v>
      </c>
      <c r="CC42" s="2">
        <f>ROUND(SUMIF(AA28:AA40,"=42387469",GO28:GO40),2)</f>
        <v>0</v>
      </c>
      <c r="CD42" s="2">
        <f>ROUND(SUMIF(AA28:AA40,"=42387469",GP28:GP40),2)</f>
        <v>219248.26</v>
      </c>
      <c r="CE42" s="2">
        <f>AC42-BX42</f>
        <v>106819.97</v>
      </c>
      <c r="CF42" s="2">
        <f>AC42-BY42</f>
        <v>106819.97</v>
      </c>
      <c r="CG42" s="2">
        <f>BX42-BZ42</f>
        <v>0</v>
      </c>
      <c r="CH42" s="2">
        <f>AC42-BX42-BY42+BZ42</f>
        <v>106819.97</v>
      </c>
      <c r="CI42" s="2">
        <f>BY42-BZ42</f>
        <v>0</v>
      </c>
      <c r="CJ42" s="2">
        <f>ROUND(SUMIF(AA28:AA40,"=42387469",GX28:GX40),2)</f>
        <v>0</v>
      </c>
      <c r="CK42" s="2">
        <f>ROUND(SUMIF(AA28:AA40,"=42387469",GY28:GY40),2)</f>
        <v>0</v>
      </c>
      <c r="CL42" s="2">
        <f>ROUND(SUMIF(AA28:AA40,"=42387469",GZ28:GZ40),2)</f>
        <v>0</v>
      </c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>
        <v>0</v>
      </c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201</v>
      </c>
      <c r="F44" s="4">
        <f>ROUND(Source!O42,O44)</f>
        <v>169507.84</v>
      </c>
      <c r="G44" s="4" t="s">
        <v>76</v>
      </c>
      <c r="H44" s="4" t="s">
        <v>77</v>
      </c>
      <c r="I44" s="4"/>
      <c r="J44" s="4"/>
      <c r="K44" s="4">
        <v>201</v>
      </c>
      <c r="L44" s="4">
        <v>1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202</v>
      </c>
      <c r="F45" s="4">
        <f>ROUND(Source!P42,O45)</f>
        <v>106819.97</v>
      </c>
      <c r="G45" s="4" t="s">
        <v>78</v>
      </c>
      <c r="H45" s="4" t="s">
        <v>79</v>
      </c>
      <c r="I45" s="4"/>
      <c r="J45" s="4"/>
      <c r="K45" s="4">
        <v>202</v>
      </c>
      <c r="L45" s="4">
        <v>2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222</v>
      </c>
      <c r="F46" s="4">
        <f>ROUND(Source!AO42,O46)</f>
        <v>0</v>
      </c>
      <c r="G46" s="4" t="s">
        <v>80</v>
      </c>
      <c r="H46" s="4" t="s">
        <v>81</v>
      </c>
      <c r="I46" s="4"/>
      <c r="J46" s="4"/>
      <c r="K46" s="4">
        <v>222</v>
      </c>
      <c r="L46" s="4">
        <v>3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225</v>
      </c>
      <c r="F47" s="4">
        <f>ROUND(Source!AV42,O47)</f>
        <v>106819.97</v>
      </c>
      <c r="G47" s="4" t="s">
        <v>82</v>
      </c>
      <c r="H47" s="4" t="s">
        <v>83</v>
      </c>
      <c r="I47" s="4"/>
      <c r="J47" s="4"/>
      <c r="K47" s="4">
        <v>225</v>
      </c>
      <c r="L47" s="4">
        <v>4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226</v>
      </c>
      <c r="F48" s="4">
        <f>ROUND(Source!AW42,O48)</f>
        <v>106819.97</v>
      </c>
      <c r="G48" s="4" t="s">
        <v>84</v>
      </c>
      <c r="H48" s="4" t="s">
        <v>85</v>
      </c>
      <c r="I48" s="4"/>
      <c r="J48" s="4"/>
      <c r="K48" s="4">
        <v>226</v>
      </c>
      <c r="L48" s="4">
        <v>5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227</v>
      </c>
      <c r="F49" s="4">
        <f>ROUND(Source!AX42,O49)</f>
        <v>0</v>
      </c>
      <c r="G49" s="4" t="s">
        <v>86</v>
      </c>
      <c r="H49" s="4" t="s">
        <v>87</v>
      </c>
      <c r="I49" s="4"/>
      <c r="J49" s="4"/>
      <c r="K49" s="4">
        <v>227</v>
      </c>
      <c r="L49" s="4">
        <v>6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228</v>
      </c>
      <c r="F50" s="4">
        <f>ROUND(Source!AY42,O50)</f>
        <v>106819.97</v>
      </c>
      <c r="G50" s="4" t="s">
        <v>88</v>
      </c>
      <c r="H50" s="4" t="s">
        <v>89</v>
      </c>
      <c r="I50" s="4"/>
      <c r="J50" s="4"/>
      <c r="K50" s="4">
        <v>228</v>
      </c>
      <c r="L50" s="4">
        <v>7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216</v>
      </c>
      <c r="F51" s="4">
        <f>ROUND(Source!AP42,O51)</f>
        <v>0</v>
      </c>
      <c r="G51" s="4" t="s">
        <v>90</v>
      </c>
      <c r="H51" s="4" t="s">
        <v>91</v>
      </c>
      <c r="I51" s="4"/>
      <c r="J51" s="4"/>
      <c r="K51" s="4">
        <v>216</v>
      </c>
      <c r="L51" s="4">
        <v>8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223</v>
      </c>
      <c r="F52" s="4">
        <f>ROUND(Source!AQ42,O52)</f>
        <v>0</v>
      </c>
      <c r="G52" s="4" t="s">
        <v>92</v>
      </c>
      <c r="H52" s="4" t="s">
        <v>93</v>
      </c>
      <c r="I52" s="4"/>
      <c r="J52" s="4"/>
      <c r="K52" s="4">
        <v>223</v>
      </c>
      <c r="L52" s="4">
        <v>9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229</v>
      </c>
      <c r="F53" s="4">
        <f>ROUND(Source!AZ42,O53)</f>
        <v>0</v>
      </c>
      <c r="G53" s="4" t="s">
        <v>94</v>
      </c>
      <c r="H53" s="4" t="s">
        <v>95</v>
      </c>
      <c r="I53" s="4"/>
      <c r="J53" s="4"/>
      <c r="K53" s="4">
        <v>229</v>
      </c>
      <c r="L53" s="4">
        <v>10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203</v>
      </c>
      <c r="F54" s="4">
        <f>ROUND(Source!Q42,O54)</f>
        <v>1462.1</v>
      </c>
      <c r="G54" s="4" t="s">
        <v>96</v>
      </c>
      <c r="H54" s="4" t="s">
        <v>97</v>
      </c>
      <c r="I54" s="4"/>
      <c r="J54" s="4"/>
      <c r="K54" s="4">
        <v>203</v>
      </c>
      <c r="L54" s="4">
        <v>11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231</v>
      </c>
      <c r="F55" s="4">
        <f>ROUND(Source!BB42,O55)</f>
        <v>0</v>
      </c>
      <c r="G55" s="4" t="s">
        <v>98</v>
      </c>
      <c r="H55" s="4" t="s">
        <v>99</v>
      </c>
      <c r="I55" s="4"/>
      <c r="J55" s="4"/>
      <c r="K55" s="4">
        <v>231</v>
      </c>
      <c r="L55" s="4">
        <v>12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204</v>
      </c>
      <c r="F56" s="4">
        <f>ROUND(Source!R42,O56)</f>
        <v>703.52</v>
      </c>
      <c r="G56" s="4" t="s">
        <v>100</v>
      </c>
      <c r="H56" s="4" t="s">
        <v>101</v>
      </c>
      <c r="I56" s="4"/>
      <c r="J56" s="4"/>
      <c r="K56" s="4">
        <v>204</v>
      </c>
      <c r="L56" s="4">
        <v>13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205</v>
      </c>
      <c r="F57" s="4">
        <f>ROUND(Source!S42,O57)</f>
        <v>61225.77</v>
      </c>
      <c r="G57" s="4" t="s">
        <v>102</v>
      </c>
      <c r="H57" s="4" t="s">
        <v>103</v>
      </c>
      <c r="I57" s="4"/>
      <c r="J57" s="4"/>
      <c r="K57" s="4">
        <v>205</v>
      </c>
      <c r="L57" s="4">
        <v>14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232</v>
      </c>
      <c r="F58" s="4">
        <f>ROUND(Source!BC42,O58)</f>
        <v>0</v>
      </c>
      <c r="G58" s="4" t="s">
        <v>104</v>
      </c>
      <c r="H58" s="4" t="s">
        <v>105</v>
      </c>
      <c r="I58" s="4"/>
      <c r="J58" s="4"/>
      <c r="K58" s="4">
        <v>232</v>
      </c>
      <c r="L58" s="4">
        <v>15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214</v>
      </c>
      <c r="F59" s="4">
        <f>ROUND(Source!AS42,O59)</f>
        <v>0</v>
      </c>
      <c r="G59" s="4" t="s">
        <v>106</v>
      </c>
      <c r="H59" s="4" t="s">
        <v>107</v>
      </c>
      <c r="I59" s="4"/>
      <c r="J59" s="4"/>
      <c r="K59" s="4">
        <v>214</v>
      </c>
      <c r="L59" s="4">
        <v>16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215</v>
      </c>
      <c r="F60" s="4">
        <f>ROUND(Source!AT42,O60)</f>
        <v>0</v>
      </c>
      <c r="G60" s="4" t="s">
        <v>108</v>
      </c>
      <c r="H60" s="4" t="s">
        <v>109</v>
      </c>
      <c r="I60" s="4"/>
      <c r="J60" s="4"/>
      <c r="K60" s="4">
        <v>215</v>
      </c>
      <c r="L60" s="4">
        <v>17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217</v>
      </c>
      <c r="F61" s="4">
        <f>ROUND(Source!AU42,O61)</f>
        <v>219248.26</v>
      </c>
      <c r="G61" s="4" t="s">
        <v>110</v>
      </c>
      <c r="H61" s="4" t="s">
        <v>111</v>
      </c>
      <c r="I61" s="4"/>
      <c r="J61" s="4"/>
      <c r="K61" s="4">
        <v>217</v>
      </c>
      <c r="L61" s="4">
        <v>18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230</v>
      </c>
      <c r="F62" s="4">
        <f>ROUND(Source!BA42,O62)</f>
        <v>0</v>
      </c>
      <c r="G62" s="4" t="s">
        <v>112</v>
      </c>
      <c r="H62" s="4" t="s">
        <v>113</v>
      </c>
      <c r="I62" s="4"/>
      <c r="J62" s="4"/>
      <c r="K62" s="4">
        <v>230</v>
      </c>
      <c r="L62" s="4">
        <v>19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206</v>
      </c>
      <c r="F63" s="4">
        <f>ROUND(Source!T42,O63)</f>
        <v>0</v>
      </c>
      <c r="G63" s="4" t="s">
        <v>114</v>
      </c>
      <c r="H63" s="4" t="s">
        <v>115</v>
      </c>
      <c r="I63" s="4"/>
      <c r="J63" s="4"/>
      <c r="K63" s="4">
        <v>206</v>
      </c>
      <c r="L63" s="4">
        <v>20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207</v>
      </c>
      <c r="F64" s="4">
        <f>Source!U42</f>
        <v>310.19205999999997</v>
      </c>
      <c r="G64" s="4" t="s">
        <v>116</v>
      </c>
      <c r="H64" s="4" t="s">
        <v>117</v>
      </c>
      <c r="I64" s="4"/>
      <c r="J64" s="4"/>
      <c r="K64" s="4">
        <v>207</v>
      </c>
      <c r="L64" s="4">
        <v>21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06" x14ac:dyDescent="0.2">
      <c r="A65" s="4">
        <v>50</v>
      </c>
      <c r="B65" s="4">
        <v>0</v>
      </c>
      <c r="C65" s="4">
        <v>0</v>
      </c>
      <c r="D65" s="4">
        <v>1</v>
      </c>
      <c r="E65" s="4">
        <v>208</v>
      </c>
      <c r="F65" s="4">
        <f>Source!V42</f>
        <v>0</v>
      </c>
      <c r="G65" s="4" t="s">
        <v>118</v>
      </c>
      <c r="H65" s="4" t="s">
        <v>119</v>
      </c>
      <c r="I65" s="4"/>
      <c r="J65" s="4"/>
      <c r="K65" s="4">
        <v>208</v>
      </c>
      <c r="L65" s="4">
        <v>22</v>
      </c>
      <c r="M65" s="4">
        <v>3</v>
      </c>
      <c r="N65" s="4" t="s">
        <v>3</v>
      </c>
      <c r="O65" s="4">
        <v>-1</v>
      </c>
      <c r="P65" s="4"/>
      <c r="Q65" s="4"/>
      <c r="R65" s="4"/>
      <c r="S65" s="4"/>
      <c r="T65" s="4"/>
      <c r="U65" s="4"/>
      <c r="V65" s="4"/>
      <c r="W65" s="4"/>
    </row>
    <row r="66" spans="1:206" x14ac:dyDescent="0.2">
      <c r="A66" s="4">
        <v>50</v>
      </c>
      <c r="B66" s="4">
        <v>0</v>
      </c>
      <c r="C66" s="4">
        <v>0</v>
      </c>
      <c r="D66" s="4">
        <v>1</v>
      </c>
      <c r="E66" s="4">
        <v>209</v>
      </c>
      <c r="F66" s="4">
        <f>ROUND(Source!W42,O66)</f>
        <v>0</v>
      </c>
      <c r="G66" s="4" t="s">
        <v>120</v>
      </c>
      <c r="H66" s="4" t="s">
        <v>121</v>
      </c>
      <c r="I66" s="4"/>
      <c r="J66" s="4"/>
      <c r="K66" s="4">
        <v>209</v>
      </c>
      <c r="L66" s="4">
        <v>23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06" x14ac:dyDescent="0.2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ROUND(Source!X42,O67)</f>
        <v>42858.03</v>
      </c>
      <c r="G67" s="4" t="s">
        <v>122</v>
      </c>
      <c r="H67" s="4" t="s">
        <v>123</v>
      </c>
      <c r="I67" s="4"/>
      <c r="J67" s="4"/>
      <c r="K67" s="4">
        <v>210</v>
      </c>
      <c r="L67" s="4">
        <v>24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06" x14ac:dyDescent="0.2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ROUND(Source!Y42,O68)</f>
        <v>6122.59</v>
      </c>
      <c r="G68" s="4" t="s">
        <v>124</v>
      </c>
      <c r="H68" s="4" t="s">
        <v>125</v>
      </c>
      <c r="I68" s="4"/>
      <c r="J68" s="4"/>
      <c r="K68" s="4">
        <v>211</v>
      </c>
      <c r="L68" s="4">
        <v>25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06" x14ac:dyDescent="0.2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ROUND(Source!AR42,O69)</f>
        <v>219248.26</v>
      </c>
      <c r="G69" s="4" t="s">
        <v>126</v>
      </c>
      <c r="H69" s="4" t="s">
        <v>127</v>
      </c>
      <c r="I69" s="4"/>
      <c r="J69" s="4"/>
      <c r="K69" s="4">
        <v>224</v>
      </c>
      <c r="L69" s="4">
        <v>26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1" spans="1:206" x14ac:dyDescent="0.2">
      <c r="A71" s="2">
        <v>51</v>
      </c>
      <c r="B71" s="2">
        <f>B20</f>
        <v>1</v>
      </c>
      <c r="C71" s="2">
        <f>A20</f>
        <v>3</v>
      </c>
      <c r="D71" s="2">
        <f>ROW(A20)</f>
        <v>20</v>
      </c>
      <c r="E71" s="2"/>
      <c r="F71" s="2" t="str">
        <f>IF(F20&lt;&gt;"",F20,"")</f>
        <v>Новая локальная смета</v>
      </c>
      <c r="G71" s="2" t="str">
        <f>IF(G20&lt;&gt;"",G20,"")</f>
        <v>Новая локальная смета</v>
      </c>
      <c r="H71" s="2">
        <v>0</v>
      </c>
      <c r="I71" s="2"/>
      <c r="J71" s="2"/>
      <c r="K71" s="2"/>
      <c r="L71" s="2"/>
      <c r="M71" s="2"/>
      <c r="N71" s="2"/>
      <c r="O71" s="2">
        <f t="shared" ref="O71:T71" si="62">ROUND(O42+AB71,2)</f>
        <v>169507.84</v>
      </c>
      <c r="P71" s="2">
        <f t="shared" si="62"/>
        <v>106819.97</v>
      </c>
      <c r="Q71" s="2">
        <f t="shared" si="62"/>
        <v>1462.1</v>
      </c>
      <c r="R71" s="2">
        <f t="shared" si="62"/>
        <v>703.52</v>
      </c>
      <c r="S71" s="2">
        <f t="shared" si="62"/>
        <v>61225.77</v>
      </c>
      <c r="T71" s="2">
        <f t="shared" si="62"/>
        <v>0</v>
      </c>
      <c r="U71" s="2">
        <f>U42+AH71</f>
        <v>310.19205999999997</v>
      </c>
      <c r="V71" s="2">
        <f>V42+AI71</f>
        <v>0</v>
      </c>
      <c r="W71" s="2">
        <f>ROUND(W42+AJ71,2)</f>
        <v>0</v>
      </c>
      <c r="X71" s="2">
        <f>ROUND(X42+AK71,2)</f>
        <v>42858.03</v>
      </c>
      <c r="Y71" s="2">
        <f>ROUND(Y42+AL71,2)</f>
        <v>6122.59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>
        <f t="shared" ref="AO71:BC71" si="63">ROUND(AO42+BX71,2)</f>
        <v>0</v>
      </c>
      <c r="AP71" s="2">
        <f t="shared" si="63"/>
        <v>0</v>
      </c>
      <c r="AQ71" s="2">
        <f t="shared" si="63"/>
        <v>0</v>
      </c>
      <c r="AR71" s="2">
        <f t="shared" si="63"/>
        <v>219248.26</v>
      </c>
      <c r="AS71" s="2">
        <f t="shared" si="63"/>
        <v>0</v>
      </c>
      <c r="AT71" s="2">
        <f t="shared" si="63"/>
        <v>0</v>
      </c>
      <c r="AU71" s="2">
        <f t="shared" si="63"/>
        <v>219248.26</v>
      </c>
      <c r="AV71" s="2">
        <f t="shared" si="63"/>
        <v>106819.97</v>
      </c>
      <c r="AW71" s="2">
        <f t="shared" si="63"/>
        <v>106819.97</v>
      </c>
      <c r="AX71" s="2">
        <f t="shared" si="63"/>
        <v>0</v>
      </c>
      <c r="AY71" s="2">
        <f t="shared" si="63"/>
        <v>106819.97</v>
      </c>
      <c r="AZ71" s="2">
        <f t="shared" si="63"/>
        <v>0</v>
      </c>
      <c r="BA71" s="2">
        <f t="shared" si="63"/>
        <v>0</v>
      </c>
      <c r="BB71" s="2">
        <f t="shared" si="63"/>
        <v>0</v>
      </c>
      <c r="BC71" s="2">
        <f t="shared" si="63"/>
        <v>0</v>
      </c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>
        <v>0</v>
      </c>
    </row>
    <row r="73" spans="1:206" x14ac:dyDescent="0.2">
      <c r="A73" s="4">
        <v>50</v>
      </c>
      <c r="B73" s="4">
        <v>0</v>
      </c>
      <c r="C73" s="4">
        <v>0</v>
      </c>
      <c r="D73" s="4">
        <v>1</v>
      </c>
      <c r="E73" s="4">
        <v>201</v>
      </c>
      <c r="F73" s="4">
        <f>ROUND(Source!O71,O73)</f>
        <v>169507.84</v>
      </c>
      <c r="G73" s="4" t="s">
        <v>76</v>
      </c>
      <c r="H73" s="4" t="s">
        <v>77</v>
      </c>
      <c r="I73" s="4"/>
      <c r="J73" s="4"/>
      <c r="K73" s="4">
        <v>201</v>
      </c>
      <c r="L73" s="4">
        <v>1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06" x14ac:dyDescent="0.2">
      <c r="A74" s="4">
        <v>50</v>
      </c>
      <c r="B74" s="4">
        <v>0</v>
      </c>
      <c r="C74" s="4">
        <v>0</v>
      </c>
      <c r="D74" s="4">
        <v>1</v>
      </c>
      <c r="E74" s="4">
        <v>202</v>
      </c>
      <c r="F74" s="4">
        <f>ROUND(Source!P71,O74)</f>
        <v>106819.97</v>
      </c>
      <c r="G74" s="4" t="s">
        <v>78</v>
      </c>
      <c r="H74" s="4" t="s">
        <v>79</v>
      </c>
      <c r="I74" s="4"/>
      <c r="J74" s="4"/>
      <c r="K74" s="4">
        <v>202</v>
      </c>
      <c r="L74" s="4">
        <v>2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06" x14ac:dyDescent="0.2">
      <c r="A75" s="4">
        <v>50</v>
      </c>
      <c r="B75" s="4">
        <v>0</v>
      </c>
      <c r="C75" s="4">
        <v>0</v>
      </c>
      <c r="D75" s="4">
        <v>1</v>
      </c>
      <c r="E75" s="4">
        <v>222</v>
      </c>
      <c r="F75" s="4">
        <f>ROUND(Source!AO71,O75)</f>
        <v>0</v>
      </c>
      <c r="G75" s="4" t="s">
        <v>80</v>
      </c>
      <c r="H75" s="4" t="s">
        <v>81</v>
      </c>
      <c r="I75" s="4"/>
      <c r="J75" s="4"/>
      <c r="K75" s="4">
        <v>222</v>
      </c>
      <c r="L75" s="4">
        <v>3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06" x14ac:dyDescent="0.2">
      <c r="A76" s="4">
        <v>50</v>
      </c>
      <c r="B76" s="4">
        <v>0</v>
      </c>
      <c r="C76" s="4">
        <v>0</v>
      </c>
      <c r="D76" s="4">
        <v>1</v>
      </c>
      <c r="E76" s="4">
        <v>225</v>
      </c>
      <c r="F76" s="4">
        <f>ROUND(Source!AV71,O76)</f>
        <v>106819.97</v>
      </c>
      <c r="G76" s="4" t="s">
        <v>82</v>
      </c>
      <c r="H76" s="4" t="s">
        <v>83</v>
      </c>
      <c r="I76" s="4"/>
      <c r="J76" s="4"/>
      <c r="K76" s="4">
        <v>225</v>
      </c>
      <c r="L76" s="4">
        <v>4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06" x14ac:dyDescent="0.2">
      <c r="A77" s="4">
        <v>50</v>
      </c>
      <c r="B77" s="4">
        <v>0</v>
      </c>
      <c r="C77" s="4">
        <v>0</v>
      </c>
      <c r="D77" s="4">
        <v>1</v>
      </c>
      <c r="E77" s="4">
        <v>226</v>
      </c>
      <c r="F77" s="4">
        <f>ROUND(Source!AW71,O77)</f>
        <v>106819.97</v>
      </c>
      <c r="G77" s="4" t="s">
        <v>84</v>
      </c>
      <c r="H77" s="4" t="s">
        <v>85</v>
      </c>
      <c r="I77" s="4"/>
      <c r="J77" s="4"/>
      <c r="K77" s="4">
        <v>226</v>
      </c>
      <c r="L77" s="4">
        <v>5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06" x14ac:dyDescent="0.2">
      <c r="A78" s="4">
        <v>50</v>
      </c>
      <c r="B78" s="4">
        <v>0</v>
      </c>
      <c r="C78" s="4">
        <v>0</v>
      </c>
      <c r="D78" s="4">
        <v>1</v>
      </c>
      <c r="E78" s="4">
        <v>227</v>
      </c>
      <c r="F78" s="4">
        <f>ROUND(Source!AX71,O78)</f>
        <v>0</v>
      </c>
      <c r="G78" s="4" t="s">
        <v>86</v>
      </c>
      <c r="H78" s="4" t="s">
        <v>87</v>
      </c>
      <c r="I78" s="4"/>
      <c r="J78" s="4"/>
      <c r="K78" s="4">
        <v>227</v>
      </c>
      <c r="L78" s="4">
        <v>6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06" x14ac:dyDescent="0.2">
      <c r="A79" s="4">
        <v>50</v>
      </c>
      <c r="B79" s="4">
        <v>0</v>
      </c>
      <c r="C79" s="4">
        <v>0</v>
      </c>
      <c r="D79" s="4">
        <v>1</v>
      </c>
      <c r="E79" s="4">
        <v>228</v>
      </c>
      <c r="F79" s="4">
        <f>ROUND(Source!AY71,O79)</f>
        <v>106819.97</v>
      </c>
      <c r="G79" s="4" t="s">
        <v>88</v>
      </c>
      <c r="H79" s="4" t="s">
        <v>89</v>
      </c>
      <c r="I79" s="4"/>
      <c r="J79" s="4"/>
      <c r="K79" s="4">
        <v>228</v>
      </c>
      <c r="L79" s="4">
        <v>7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06" x14ac:dyDescent="0.2">
      <c r="A80" s="4">
        <v>50</v>
      </c>
      <c r="B80" s="4">
        <v>0</v>
      </c>
      <c r="C80" s="4">
        <v>0</v>
      </c>
      <c r="D80" s="4">
        <v>1</v>
      </c>
      <c r="E80" s="4">
        <v>216</v>
      </c>
      <c r="F80" s="4">
        <f>ROUND(Source!AP71,O80)</f>
        <v>0</v>
      </c>
      <c r="G80" s="4" t="s">
        <v>90</v>
      </c>
      <c r="H80" s="4" t="s">
        <v>91</v>
      </c>
      <c r="I80" s="4"/>
      <c r="J80" s="4"/>
      <c r="K80" s="4">
        <v>216</v>
      </c>
      <c r="L80" s="4">
        <v>8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223</v>
      </c>
      <c r="F81" s="4">
        <f>ROUND(Source!AQ71,O81)</f>
        <v>0</v>
      </c>
      <c r="G81" s="4" t="s">
        <v>92</v>
      </c>
      <c r="H81" s="4" t="s">
        <v>93</v>
      </c>
      <c r="I81" s="4"/>
      <c r="J81" s="4"/>
      <c r="K81" s="4">
        <v>223</v>
      </c>
      <c r="L81" s="4">
        <v>9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229</v>
      </c>
      <c r="F82" s="4">
        <f>ROUND(Source!AZ71,O82)</f>
        <v>0</v>
      </c>
      <c r="G82" s="4" t="s">
        <v>94</v>
      </c>
      <c r="H82" s="4" t="s">
        <v>95</v>
      </c>
      <c r="I82" s="4"/>
      <c r="J82" s="4"/>
      <c r="K82" s="4">
        <v>229</v>
      </c>
      <c r="L82" s="4">
        <v>10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203</v>
      </c>
      <c r="F83" s="4">
        <f>ROUND(Source!Q71,O83)</f>
        <v>1462.1</v>
      </c>
      <c r="G83" s="4" t="s">
        <v>96</v>
      </c>
      <c r="H83" s="4" t="s">
        <v>97</v>
      </c>
      <c r="I83" s="4"/>
      <c r="J83" s="4"/>
      <c r="K83" s="4">
        <v>203</v>
      </c>
      <c r="L83" s="4">
        <v>11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231</v>
      </c>
      <c r="F84" s="4">
        <f>ROUND(Source!BB71,O84)</f>
        <v>0</v>
      </c>
      <c r="G84" s="4" t="s">
        <v>98</v>
      </c>
      <c r="H84" s="4" t="s">
        <v>99</v>
      </c>
      <c r="I84" s="4"/>
      <c r="J84" s="4"/>
      <c r="K84" s="4">
        <v>231</v>
      </c>
      <c r="L84" s="4">
        <v>12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204</v>
      </c>
      <c r="F85" s="4">
        <f>ROUND(Source!R71,O85)</f>
        <v>703.52</v>
      </c>
      <c r="G85" s="4" t="s">
        <v>100</v>
      </c>
      <c r="H85" s="4" t="s">
        <v>101</v>
      </c>
      <c r="I85" s="4"/>
      <c r="J85" s="4"/>
      <c r="K85" s="4">
        <v>204</v>
      </c>
      <c r="L85" s="4">
        <v>13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205</v>
      </c>
      <c r="F86" s="4">
        <f>ROUND(Source!S71,O86)</f>
        <v>61225.77</v>
      </c>
      <c r="G86" s="4" t="s">
        <v>102</v>
      </c>
      <c r="H86" s="4" t="s">
        <v>103</v>
      </c>
      <c r="I86" s="4"/>
      <c r="J86" s="4"/>
      <c r="K86" s="4">
        <v>205</v>
      </c>
      <c r="L86" s="4">
        <v>14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232</v>
      </c>
      <c r="F87" s="4">
        <f>ROUND(Source!BC71,O87)</f>
        <v>0</v>
      </c>
      <c r="G87" s="4" t="s">
        <v>104</v>
      </c>
      <c r="H87" s="4" t="s">
        <v>105</v>
      </c>
      <c r="I87" s="4"/>
      <c r="J87" s="4"/>
      <c r="K87" s="4">
        <v>232</v>
      </c>
      <c r="L87" s="4">
        <v>15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214</v>
      </c>
      <c r="F88" s="4">
        <f>ROUND(Source!AS71,O88)</f>
        <v>0</v>
      </c>
      <c r="G88" s="4" t="s">
        <v>106</v>
      </c>
      <c r="H88" s="4" t="s">
        <v>107</v>
      </c>
      <c r="I88" s="4"/>
      <c r="J88" s="4"/>
      <c r="K88" s="4">
        <v>214</v>
      </c>
      <c r="L88" s="4">
        <v>16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215</v>
      </c>
      <c r="F89" s="4">
        <f>ROUND(Source!AT71,O89)</f>
        <v>0</v>
      </c>
      <c r="G89" s="4" t="s">
        <v>108</v>
      </c>
      <c r="H89" s="4" t="s">
        <v>109</v>
      </c>
      <c r="I89" s="4"/>
      <c r="J89" s="4"/>
      <c r="K89" s="4">
        <v>215</v>
      </c>
      <c r="L89" s="4">
        <v>17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217</v>
      </c>
      <c r="F90" s="4">
        <f>ROUND(Source!AU71,O90)</f>
        <v>219248.26</v>
      </c>
      <c r="G90" s="4" t="s">
        <v>110</v>
      </c>
      <c r="H90" s="4" t="s">
        <v>111</v>
      </c>
      <c r="I90" s="4"/>
      <c r="J90" s="4"/>
      <c r="K90" s="4">
        <v>217</v>
      </c>
      <c r="L90" s="4">
        <v>18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230</v>
      </c>
      <c r="F91" s="4">
        <f>ROUND(Source!BA71,O91)</f>
        <v>0</v>
      </c>
      <c r="G91" s="4" t="s">
        <v>112</v>
      </c>
      <c r="H91" s="4" t="s">
        <v>113</v>
      </c>
      <c r="I91" s="4"/>
      <c r="J91" s="4"/>
      <c r="K91" s="4">
        <v>230</v>
      </c>
      <c r="L91" s="4">
        <v>19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206</v>
      </c>
      <c r="F92" s="4">
        <f>ROUND(Source!T71,O92)</f>
        <v>0</v>
      </c>
      <c r="G92" s="4" t="s">
        <v>114</v>
      </c>
      <c r="H92" s="4" t="s">
        <v>115</v>
      </c>
      <c r="I92" s="4"/>
      <c r="J92" s="4"/>
      <c r="K92" s="4">
        <v>206</v>
      </c>
      <c r="L92" s="4">
        <v>20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207</v>
      </c>
      <c r="F93" s="4">
        <f>Source!U71</f>
        <v>310.19205999999997</v>
      </c>
      <c r="G93" s="4" t="s">
        <v>116</v>
      </c>
      <c r="H93" s="4" t="s">
        <v>117</v>
      </c>
      <c r="I93" s="4"/>
      <c r="J93" s="4"/>
      <c r="K93" s="4">
        <v>207</v>
      </c>
      <c r="L93" s="4">
        <v>21</v>
      </c>
      <c r="M93" s="4">
        <v>3</v>
      </c>
      <c r="N93" s="4" t="s">
        <v>3</v>
      </c>
      <c r="O93" s="4">
        <v>-1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208</v>
      </c>
      <c r="F94" s="4">
        <f>Source!V71</f>
        <v>0</v>
      </c>
      <c r="G94" s="4" t="s">
        <v>118</v>
      </c>
      <c r="H94" s="4" t="s">
        <v>119</v>
      </c>
      <c r="I94" s="4"/>
      <c r="J94" s="4"/>
      <c r="K94" s="4">
        <v>208</v>
      </c>
      <c r="L94" s="4">
        <v>22</v>
      </c>
      <c r="M94" s="4">
        <v>3</v>
      </c>
      <c r="N94" s="4" t="s">
        <v>3</v>
      </c>
      <c r="O94" s="4">
        <v>-1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209</v>
      </c>
      <c r="F95" s="4">
        <f>ROUND(Source!W71,O95)</f>
        <v>0</v>
      </c>
      <c r="G95" s="4" t="s">
        <v>120</v>
      </c>
      <c r="H95" s="4" t="s">
        <v>121</v>
      </c>
      <c r="I95" s="4"/>
      <c r="J95" s="4"/>
      <c r="K95" s="4">
        <v>209</v>
      </c>
      <c r="L95" s="4">
        <v>23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210</v>
      </c>
      <c r="F96" s="4">
        <f>ROUND(Source!X71,O96)</f>
        <v>42858.03</v>
      </c>
      <c r="G96" s="4" t="s">
        <v>122</v>
      </c>
      <c r="H96" s="4" t="s">
        <v>123</v>
      </c>
      <c r="I96" s="4"/>
      <c r="J96" s="4"/>
      <c r="K96" s="4">
        <v>210</v>
      </c>
      <c r="L96" s="4">
        <v>24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06" x14ac:dyDescent="0.2">
      <c r="A97" s="4">
        <v>50</v>
      </c>
      <c r="B97" s="4">
        <v>0</v>
      </c>
      <c r="C97" s="4">
        <v>0</v>
      </c>
      <c r="D97" s="4">
        <v>1</v>
      </c>
      <c r="E97" s="4">
        <v>211</v>
      </c>
      <c r="F97" s="4">
        <f>ROUND(Source!Y71,O97)</f>
        <v>6122.59</v>
      </c>
      <c r="G97" s="4" t="s">
        <v>124</v>
      </c>
      <c r="H97" s="4" t="s">
        <v>125</v>
      </c>
      <c r="I97" s="4"/>
      <c r="J97" s="4"/>
      <c r="K97" s="4">
        <v>211</v>
      </c>
      <c r="L97" s="4">
        <v>25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06" x14ac:dyDescent="0.2">
      <c r="A98" s="4">
        <v>50</v>
      </c>
      <c r="B98" s="4">
        <v>0</v>
      </c>
      <c r="C98" s="4">
        <v>0</v>
      </c>
      <c r="D98" s="4">
        <v>1</v>
      </c>
      <c r="E98" s="4">
        <v>224</v>
      </c>
      <c r="F98" s="4">
        <f>ROUND(Source!AR71,O98)</f>
        <v>219248.26</v>
      </c>
      <c r="G98" s="4" t="s">
        <v>126</v>
      </c>
      <c r="H98" s="4" t="s">
        <v>127</v>
      </c>
      <c r="I98" s="4"/>
      <c r="J98" s="4"/>
      <c r="K98" s="4">
        <v>224</v>
      </c>
      <c r="L98" s="4">
        <v>26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100" spans="1:206" x14ac:dyDescent="0.2">
      <c r="A100" s="2">
        <v>51</v>
      </c>
      <c r="B100" s="2">
        <f>B12</f>
        <v>135</v>
      </c>
      <c r="C100" s="2">
        <f>A12</f>
        <v>1</v>
      </c>
      <c r="D100" s="2">
        <f>ROW(A12)</f>
        <v>12</v>
      </c>
      <c r="E100" s="2"/>
      <c r="F100" s="2" t="str">
        <f>IF(F12&lt;&gt;"",F12,"")</f>
        <v>Новый объект_(Копия)</v>
      </c>
      <c r="G100" s="2" t="str">
        <f>IF(G12&lt;&gt;"",G12,"")</f>
        <v>Текущий ремонт в ГБОУ Школа №1297 по адресу: Глинистый пер., 7 с 1,2._(Копия)</v>
      </c>
      <c r="H100" s="2">
        <v>0</v>
      </c>
      <c r="I100" s="2"/>
      <c r="J100" s="2"/>
      <c r="K100" s="2"/>
      <c r="L100" s="2"/>
      <c r="M100" s="2"/>
      <c r="N100" s="2"/>
      <c r="O100" s="2">
        <f t="shared" ref="O100:T100" si="64">ROUND(O71,2)</f>
        <v>169507.84</v>
      </c>
      <c r="P100" s="2">
        <f t="shared" si="64"/>
        <v>106819.97</v>
      </c>
      <c r="Q100" s="2">
        <f t="shared" si="64"/>
        <v>1462.1</v>
      </c>
      <c r="R100" s="2">
        <f t="shared" si="64"/>
        <v>703.52</v>
      </c>
      <c r="S100" s="2">
        <f t="shared" si="64"/>
        <v>61225.77</v>
      </c>
      <c r="T100" s="2">
        <f t="shared" si="64"/>
        <v>0</v>
      </c>
      <c r="U100" s="2">
        <f>U71</f>
        <v>310.19205999999997</v>
      </c>
      <c r="V100" s="2">
        <f>V71</f>
        <v>0</v>
      </c>
      <c r="W100" s="2">
        <f>ROUND(W71,2)</f>
        <v>0</v>
      </c>
      <c r="X100" s="2">
        <f>ROUND(X71,2)</f>
        <v>42858.03</v>
      </c>
      <c r="Y100" s="2">
        <f>ROUND(Y71,2)</f>
        <v>6122.59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>
        <f t="shared" ref="AO100:BC100" si="65">ROUND(AO71,2)</f>
        <v>0</v>
      </c>
      <c r="AP100" s="2">
        <f t="shared" si="65"/>
        <v>0</v>
      </c>
      <c r="AQ100" s="2">
        <f t="shared" si="65"/>
        <v>0</v>
      </c>
      <c r="AR100" s="2">
        <f t="shared" si="65"/>
        <v>219248.26</v>
      </c>
      <c r="AS100" s="2">
        <f t="shared" si="65"/>
        <v>0</v>
      </c>
      <c r="AT100" s="2">
        <f t="shared" si="65"/>
        <v>0</v>
      </c>
      <c r="AU100" s="2">
        <f t="shared" si="65"/>
        <v>219248.26</v>
      </c>
      <c r="AV100" s="2">
        <f t="shared" si="65"/>
        <v>106819.97</v>
      </c>
      <c r="AW100" s="2">
        <f t="shared" si="65"/>
        <v>106819.97</v>
      </c>
      <c r="AX100" s="2">
        <f t="shared" si="65"/>
        <v>0</v>
      </c>
      <c r="AY100" s="2">
        <f t="shared" si="65"/>
        <v>106819.97</v>
      </c>
      <c r="AZ100" s="2">
        <f t="shared" si="65"/>
        <v>0</v>
      </c>
      <c r="BA100" s="2">
        <f t="shared" si="65"/>
        <v>0</v>
      </c>
      <c r="BB100" s="2">
        <f t="shared" si="65"/>
        <v>0</v>
      </c>
      <c r="BC100" s="2">
        <f t="shared" si="65"/>
        <v>0</v>
      </c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>
        <v>0</v>
      </c>
    </row>
    <row r="102" spans="1:206" x14ac:dyDescent="0.2">
      <c r="A102" s="4">
        <v>50</v>
      </c>
      <c r="B102" s="4">
        <v>0</v>
      </c>
      <c r="C102" s="4">
        <v>0</v>
      </c>
      <c r="D102" s="4">
        <v>1</v>
      </c>
      <c r="E102" s="4">
        <v>201</v>
      </c>
      <c r="F102" s="4">
        <f>ROUND(Source!O100,O102)</f>
        <v>169507.84</v>
      </c>
      <c r="G102" s="4" t="s">
        <v>76</v>
      </c>
      <c r="H102" s="4" t="s">
        <v>77</v>
      </c>
      <c r="I102" s="4"/>
      <c r="J102" s="4"/>
      <c r="K102" s="4">
        <v>201</v>
      </c>
      <c r="L102" s="4">
        <v>1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06" x14ac:dyDescent="0.2">
      <c r="A103" s="4">
        <v>50</v>
      </c>
      <c r="B103" s="4">
        <v>0</v>
      </c>
      <c r="C103" s="4">
        <v>0</v>
      </c>
      <c r="D103" s="4">
        <v>1</v>
      </c>
      <c r="E103" s="4">
        <v>202</v>
      </c>
      <c r="F103" s="4">
        <f>ROUND(Source!P100,O103)</f>
        <v>106819.97</v>
      </c>
      <c r="G103" s="4" t="s">
        <v>78</v>
      </c>
      <c r="H103" s="4" t="s">
        <v>79</v>
      </c>
      <c r="I103" s="4"/>
      <c r="J103" s="4"/>
      <c r="K103" s="4">
        <v>202</v>
      </c>
      <c r="L103" s="4">
        <v>2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06" x14ac:dyDescent="0.2">
      <c r="A104" s="4">
        <v>50</v>
      </c>
      <c r="B104" s="4">
        <v>0</v>
      </c>
      <c r="C104" s="4">
        <v>0</v>
      </c>
      <c r="D104" s="4">
        <v>1</v>
      </c>
      <c r="E104" s="4">
        <v>222</v>
      </c>
      <c r="F104" s="4">
        <f>ROUND(Source!AO100,O104)</f>
        <v>0</v>
      </c>
      <c r="G104" s="4" t="s">
        <v>80</v>
      </c>
      <c r="H104" s="4" t="s">
        <v>81</v>
      </c>
      <c r="I104" s="4"/>
      <c r="J104" s="4"/>
      <c r="K104" s="4">
        <v>222</v>
      </c>
      <c r="L104" s="4">
        <v>3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06" x14ac:dyDescent="0.2">
      <c r="A105" s="4">
        <v>50</v>
      </c>
      <c r="B105" s="4">
        <v>0</v>
      </c>
      <c r="C105" s="4">
        <v>0</v>
      </c>
      <c r="D105" s="4">
        <v>1</v>
      </c>
      <c r="E105" s="4">
        <v>225</v>
      </c>
      <c r="F105" s="4">
        <f>ROUND(Source!AV100,O105)</f>
        <v>106819.97</v>
      </c>
      <c r="G105" s="4" t="s">
        <v>82</v>
      </c>
      <c r="H105" s="4" t="s">
        <v>83</v>
      </c>
      <c r="I105" s="4"/>
      <c r="J105" s="4"/>
      <c r="K105" s="4">
        <v>225</v>
      </c>
      <c r="L105" s="4">
        <v>4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06" x14ac:dyDescent="0.2">
      <c r="A106" s="4">
        <v>50</v>
      </c>
      <c r="B106" s="4">
        <v>0</v>
      </c>
      <c r="C106" s="4">
        <v>0</v>
      </c>
      <c r="D106" s="4">
        <v>1</v>
      </c>
      <c r="E106" s="4">
        <v>226</v>
      </c>
      <c r="F106" s="4">
        <f>ROUND(Source!AW100,O106)</f>
        <v>106819.97</v>
      </c>
      <c r="G106" s="4" t="s">
        <v>84</v>
      </c>
      <c r="H106" s="4" t="s">
        <v>85</v>
      </c>
      <c r="I106" s="4"/>
      <c r="J106" s="4"/>
      <c r="K106" s="4">
        <v>226</v>
      </c>
      <c r="L106" s="4">
        <v>5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06" x14ac:dyDescent="0.2">
      <c r="A107" s="4">
        <v>50</v>
      </c>
      <c r="B107" s="4">
        <v>0</v>
      </c>
      <c r="C107" s="4">
        <v>0</v>
      </c>
      <c r="D107" s="4">
        <v>1</v>
      </c>
      <c r="E107" s="4">
        <v>227</v>
      </c>
      <c r="F107" s="4">
        <f>ROUND(Source!AX100,O107)</f>
        <v>0</v>
      </c>
      <c r="G107" s="4" t="s">
        <v>86</v>
      </c>
      <c r="H107" s="4" t="s">
        <v>87</v>
      </c>
      <c r="I107" s="4"/>
      <c r="J107" s="4"/>
      <c r="K107" s="4">
        <v>227</v>
      </c>
      <c r="L107" s="4">
        <v>6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06" x14ac:dyDescent="0.2">
      <c r="A108" s="4">
        <v>50</v>
      </c>
      <c r="B108" s="4">
        <v>0</v>
      </c>
      <c r="C108" s="4">
        <v>0</v>
      </c>
      <c r="D108" s="4">
        <v>1</v>
      </c>
      <c r="E108" s="4">
        <v>228</v>
      </c>
      <c r="F108" s="4">
        <f>ROUND(Source!AY100,O108)</f>
        <v>106819.97</v>
      </c>
      <c r="G108" s="4" t="s">
        <v>88</v>
      </c>
      <c r="H108" s="4" t="s">
        <v>89</v>
      </c>
      <c r="I108" s="4"/>
      <c r="J108" s="4"/>
      <c r="K108" s="4">
        <v>228</v>
      </c>
      <c r="L108" s="4">
        <v>7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06" x14ac:dyDescent="0.2">
      <c r="A109" s="4">
        <v>50</v>
      </c>
      <c r="B109" s="4">
        <v>0</v>
      </c>
      <c r="C109" s="4">
        <v>0</v>
      </c>
      <c r="D109" s="4">
        <v>1</v>
      </c>
      <c r="E109" s="4">
        <v>216</v>
      </c>
      <c r="F109" s="4">
        <f>ROUND(Source!AP100,O109)</f>
        <v>0</v>
      </c>
      <c r="G109" s="4" t="s">
        <v>90</v>
      </c>
      <c r="H109" s="4" t="s">
        <v>91</v>
      </c>
      <c r="I109" s="4"/>
      <c r="J109" s="4"/>
      <c r="K109" s="4">
        <v>216</v>
      </c>
      <c r="L109" s="4">
        <v>8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06" x14ac:dyDescent="0.2">
      <c r="A110" s="4">
        <v>50</v>
      </c>
      <c r="B110" s="4">
        <v>0</v>
      </c>
      <c r="C110" s="4">
        <v>0</v>
      </c>
      <c r="D110" s="4">
        <v>1</v>
      </c>
      <c r="E110" s="4">
        <v>223</v>
      </c>
      <c r="F110" s="4">
        <f>ROUND(Source!AQ100,O110)</f>
        <v>0</v>
      </c>
      <c r="G110" s="4" t="s">
        <v>92</v>
      </c>
      <c r="H110" s="4" t="s">
        <v>93</v>
      </c>
      <c r="I110" s="4"/>
      <c r="J110" s="4"/>
      <c r="K110" s="4">
        <v>223</v>
      </c>
      <c r="L110" s="4">
        <v>9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06" x14ac:dyDescent="0.2">
      <c r="A111" s="4">
        <v>50</v>
      </c>
      <c r="B111" s="4">
        <v>0</v>
      </c>
      <c r="C111" s="4">
        <v>0</v>
      </c>
      <c r="D111" s="4">
        <v>1</v>
      </c>
      <c r="E111" s="4">
        <v>229</v>
      </c>
      <c r="F111" s="4">
        <f>ROUND(Source!AZ100,O111)</f>
        <v>0</v>
      </c>
      <c r="G111" s="4" t="s">
        <v>94</v>
      </c>
      <c r="H111" s="4" t="s">
        <v>95</v>
      </c>
      <c r="I111" s="4"/>
      <c r="J111" s="4"/>
      <c r="K111" s="4">
        <v>229</v>
      </c>
      <c r="L111" s="4">
        <v>10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06" x14ac:dyDescent="0.2">
      <c r="A112" s="4">
        <v>50</v>
      </c>
      <c r="B112" s="4">
        <v>0</v>
      </c>
      <c r="C112" s="4">
        <v>0</v>
      </c>
      <c r="D112" s="4">
        <v>1</v>
      </c>
      <c r="E112" s="4">
        <v>203</v>
      </c>
      <c r="F112" s="4">
        <f>ROUND(Source!Q100,O112)</f>
        <v>1462.1</v>
      </c>
      <c r="G112" s="4" t="s">
        <v>96</v>
      </c>
      <c r="H112" s="4" t="s">
        <v>97</v>
      </c>
      <c r="I112" s="4"/>
      <c r="J112" s="4"/>
      <c r="K112" s="4">
        <v>203</v>
      </c>
      <c r="L112" s="4">
        <v>11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3" x14ac:dyDescent="0.2">
      <c r="A113" s="4">
        <v>50</v>
      </c>
      <c r="B113" s="4">
        <v>0</v>
      </c>
      <c r="C113" s="4">
        <v>0</v>
      </c>
      <c r="D113" s="4">
        <v>1</v>
      </c>
      <c r="E113" s="4">
        <v>231</v>
      </c>
      <c r="F113" s="4">
        <f>ROUND(Source!BB100,O113)</f>
        <v>0</v>
      </c>
      <c r="G113" s="4" t="s">
        <v>98</v>
      </c>
      <c r="H113" s="4" t="s">
        <v>99</v>
      </c>
      <c r="I113" s="4"/>
      <c r="J113" s="4"/>
      <c r="K113" s="4">
        <v>231</v>
      </c>
      <c r="L113" s="4">
        <v>12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3" x14ac:dyDescent="0.2">
      <c r="A114" s="4">
        <v>50</v>
      </c>
      <c r="B114" s="4">
        <v>0</v>
      </c>
      <c r="C114" s="4">
        <v>0</v>
      </c>
      <c r="D114" s="4">
        <v>1</v>
      </c>
      <c r="E114" s="4">
        <v>204</v>
      </c>
      <c r="F114" s="4">
        <f>ROUND(Source!R100,O114)</f>
        <v>703.52</v>
      </c>
      <c r="G114" s="4" t="s">
        <v>100</v>
      </c>
      <c r="H114" s="4" t="s">
        <v>101</v>
      </c>
      <c r="I114" s="4"/>
      <c r="J114" s="4"/>
      <c r="K114" s="4">
        <v>204</v>
      </c>
      <c r="L114" s="4">
        <v>13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3" x14ac:dyDescent="0.2">
      <c r="A115" s="4">
        <v>50</v>
      </c>
      <c r="B115" s="4">
        <v>0</v>
      </c>
      <c r="C115" s="4">
        <v>0</v>
      </c>
      <c r="D115" s="4">
        <v>1</v>
      </c>
      <c r="E115" s="4">
        <v>205</v>
      </c>
      <c r="F115" s="4">
        <f>ROUND(Source!S100,O115)</f>
        <v>61225.77</v>
      </c>
      <c r="G115" s="4" t="s">
        <v>102</v>
      </c>
      <c r="H115" s="4" t="s">
        <v>103</v>
      </c>
      <c r="I115" s="4"/>
      <c r="J115" s="4"/>
      <c r="K115" s="4">
        <v>205</v>
      </c>
      <c r="L115" s="4">
        <v>14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3" x14ac:dyDescent="0.2">
      <c r="A116" s="4">
        <v>50</v>
      </c>
      <c r="B116" s="4">
        <v>0</v>
      </c>
      <c r="C116" s="4">
        <v>0</v>
      </c>
      <c r="D116" s="4">
        <v>1</v>
      </c>
      <c r="E116" s="4">
        <v>232</v>
      </c>
      <c r="F116" s="4">
        <f>ROUND(Source!BC100,O116)</f>
        <v>0</v>
      </c>
      <c r="G116" s="4" t="s">
        <v>104</v>
      </c>
      <c r="H116" s="4" t="s">
        <v>105</v>
      </c>
      <c r="I116" s="4"/>
      <c r="J116" s="4"/>
      <c r="K116" s="4">
        <v>232</v>
      </c>
      <c r="L116" s="4">
        <v>15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3" x14ac:dyDescent="0.2">
      <c r="A117" s="4">
        <v>50</v>
      </c>
      <c r="B117" s="4">
        <v>0</v>
      </c>
      <c r="C117" s="4">
        <v>0</v>
      </c>
      <c r="D117" s="4">
        <v>1</v>
      </c>
      <c r="E117" s="4">
        <v>214</v>
      </c>
      <c r="F117" s="4">
        <f>ROUND(Source!AS100,O117)</f>
        <v>0</v>
      </c>
      <c r="G117" s="4" t="s">
        <v>106</v>
      </c>
      <c r="H117" s="4" t="s">
        <v>107</v>
      </c>
      <c r="I117" s="4"/>
      <c r="J117" s="4"/>
      <c r="K117" s="4">
        <v>214</v>
      </c>
      <c r="L117" s="4">
        <v>16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3" x14ac:dyDescent="0.2">
      <c r="A118" s="4">
        <v>50</v>
      </c>
      <c r="B118" s="4">
        <v>0</v>
      </c>
      <c r="C118" s="4">
        <v>0</v>
      </c>
      <c r="D118" s="4">
        <v>1</v>
      </c>
      <c r="E118" s="4">
        <v>215</v>
      </c>
      <c r="F118" s="4">
        <f>ROUND(Source!AT100,O118)</f>
        <v>0</v>
      </c>
      <c r="G118" s="4" t="s">
        <v>108</v>
      </c>
      <c r="H118" s="4" t="s">
        <v>109</v>
      </c>
      <c r="I118" s="4"/>
      <c r="J118" s="4"/>
      <c r="K118" s="4">
        <v>215</v>
      </c>
      <c r="L118" s="4">
        <v>17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3" x14ac:dyDescent="0.2">
      <c r="A119" s="4">
        <v>50</v>
      </c>
      <c r="B119" s="4">
        <v>0</v>
      </c>
      <c r="C119" s="4">
        <v>0</v>
      </c>
      <c r="D119" s="4">
        <v>1</v>
      </c>
      <c r="E119" s="4">
        <v>217</v>
      </c>
      <c r="F119" s="4">
        <f>ROUND(Source!AU100,O119)</f>
        <v>219248.26</v>
      </c>
      <c r="G119" s="4" t="s">
        <v>110</v>
      </c>
      <c r="H119" s="4" t="s">
        <v>111</v>
      </c>
      <c r="I119" s="4"/>
      <c r="J119" s="4"/>
      <c r="K119" s="4">
        <v>217</v>
      </c>
      <c r="L119" s="4">
        <v>18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3" x14ac:dyDescent="0.2">
      <c r="A120" s="4">
        <v>50</v>
      </c>
      <c r="B120" s="4">
        <v>0</v>
      </c>
      <c r="C120" s="4">
        <v>0</v>
      </c>
      <c r="D120" s="4">
        <v>1</v>
      </c>
      <c r="E120" s="4">
        <v>230</v>
      </c>
      <c r="F120" s="4">
        <f>ROUND(Source!BA100,O120)</f>
        <v>0</v>
      </c>
      <c r="G120" s="4" t="s">
        <v>112</v>
      </c>
      <c r="H120" s="4" t="s">
        <v>113</v>
      </c>
      <c r="I120" s="4"/>
      <c r="J120" s="4"/>
      <c r="K120" s="4">
        <v>230</v>
      </c>
      <c r="L120" s="4">
        <v>19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3" x14ac:dyDescent="0.2">
      <c r="A121" s="4">
        <v>50</v>
      </c>
      <c r="B121" s="4">
        <v>0</v>
      </c>
      <c r="C121" s="4">
        <v>0</v>
      </c>
      <c r="D121" s="4">
        <v>1</v>
      </c>
      <c r="E121" s="4">
        <v>206</v>
      </c>
      <c r="F121" s="4">
        <f>ROUND(Source!T100,O121)</f>
        <v>0</v>
      </c>
      <c r="G121" s="4" t="s">
        <v>114</v>
      </c>
      <c r="H121" s="4" t="s">
        <v>115</v>
      </c>
      <c r="I121" s="4"/>
      <c r="J121" s="4"/>
      <c r="K121" s="4">
        <v>206</v>
      </c>
      <c r="L121" s="4">
        <v>20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3" x14ac:dyDescent="0.2">
      <c r="A122" s="4">
        <v>50</v>
      </c>
      <c r="B122" s="4">
        <v>0</v>
      </c>
      <c r="C122" s="4">
        <v>0</v>
      </c>
      <c r="D122" s="4">
        <v>1</v>
      </c>
      <c r="E122" s="4">
        <v>207</v>
      </c>
      <c r="F122" s="4">
        <f>Source!U100</f>
        <v>310.19205999999997</v>
      </c>
      <c r="G122" s="4" t="s">
        <v>116</v>
      </c>
      <c r="H122" s="4" t="s">
        <v>117</v>
      </c>
      <c r="I122" s="4"/>
      <c r="J122" s="4"/>
      <c r="K122" s="4">
        <v>207</v>
      </c>
      <c r="L122" s="4">
        <v>21</v>
      </c>
      <c r="M122" s="4">
        <v>3</v>
      </c>
      <c r="N122" s="4" t="s">
        <v>3</v>
      </c>
      <c r="O122" s="4">
        <v>-1</v>
      </c>
      <c r="P122" s="4"/>
      <c r="Q122" s="4"/>
      <c r="R122" s="4"/>
      <c r="S122" s="4"/>
      <c r="T122" s="4"/>
      <c r="U122" s="4"/>
      <c r="V122" s="4"/>
      <c r="W122" s="4"/>
    </row>
    <row r="123" spans="1:23" x14ac:dyDescent="0.2">
      <c r="A123" s="4">
        <v>50</v>
      </c>
      <c r="B123" s="4">
        <v>0</v>
      </c>
      <c r="C123" s="4">
        <v>0</v>
      </c>
      <c r="D123" s="4">
        <v>1</v>
      </c>
      <c r="E123" s="4">
        <v>208</v>
      </c>
      <c r="F123" s="4">
        <f>Source!V100</f>
        <v>0</v>
      </c>
      <c r="G123" s="4" t="s">
        <v>118</v>
      </c>
      <c r="H123" s="4" t="s">
        <v>119</v>
      </c>
      <c r="I123" s="4"/>
      <c r="J123" s="4"/>
      <c r="K123" s="4">
        <v>208</v>
      </c>
      <c r="L123" s="4">
        <v>22</v>
      </c>
      <c r="M123" s="4">
        <v>3</v>
      </c>
      <c r="N123" s="4" t="s">
        <v>3</v>
      </c>
      <c r="O123" s="4">
        <v>-1</v>
      </c>
      <c r="P123" s="4"/>
      <c r="Q123" s="4"/>
      <c r="R123" s="4"/>
      <c r="S123" s="4"/>
      <c r="T123" s="4"/>
      <c r="U123" s="4"/>
      <c r="V123" s="4"/>
      <c r="W123" s="4"/>
    </row>
    <row r="124" spans="1:23" x14ac:dyDescent="0.2">
      <c r="A124" s="4">
        <v>50</v>
      </c>
      <c r="B124" s="4">
        <v>0</v>
      </c>
      <c r="C124" s="4">
        <v>0</v>
      </c>
      <c r="D124" s="4">
        <v>1</v>
      </c>
      <c r="E124" s="4">
        <v>209</v>
      </c>
      <c r="F124" s="4">
        <f>ROUND(Source!W100,O124)</f>
        <v>0</v>
      </c>
      <c r="G124" s="4" t="s">
        <v>120</v>
      </c>
      <c r="H124" s="4" t="s">
        <v>121</v>
      </c>
      <c r="I124" s="4"/>
      <c r="J124" s="4"/>
      <c r="K124" s="4">
        <v>209</v>
      </c>
      <c r="L124" s="4">
        <v>23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3" x14ac:dyDescent="0.2">
      <c r="A125" s="4">
        <v>50</v>
      </c>
      <c r="B125" s="4">
        <v>0</v>
      </c>
      <c r="C125" s="4">
        <v>0</v>
      </c>
      <c r="D125" s="4">
        <v>1</v>
      </c>
      <c r="E125" s="4">
        <v>210</v>
      </c>
      <c r="F125" s="4">
        <f>ROUND(Source!X100,O125)</f>
        <v>42858.03</v>
      </c>
      <c r="G125" s="4" t="s">
        <v>122</v>
      </c>
      <c r="H125" s="4" t="s">
        <v>123</v>
      </c>
      <c r="I125" s="4"/>
      <c r="J125" s="4"/>
      <c r="K125" s="4">
        <v>210</v>
      </c>
      <c r="L125" s="4">
        <v>24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3" x14ac:dyDescent="0.2">
      <c r="A126" s="4">
        <v>50</v>
      </c>
      <c r="B126" s="4">
        <v>0</v>
      </c>
      <c r="C126" s="4">
        <v>0</v>
      </c>
      <c r="D126" s="4">
        <v>1</v>
      </c>
      <c r="E126" s="4">
        <v>211</v>
      </c>
      <c r="F126" s="4">
        <f>ROUND(Source!Y100,O126)</f>
        <v>6122.59</v>
      </c>
      <c r="G126" s="4" t="s">
        <v>124</v>
      </c>
      <c r="H126" s="4" t="s">
        <v>125</v>
      </c>
      <c r="I126" s="4"/>
      <c r="J126" s="4"/>
      <c r="K126" s="4">
        <v>211</v>
      </c>
      <c r="L126" s="4">
        <v>25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3" x14ac:dyDescent="0.2">
      <c r="A127" s="4">
        <v>50</v>
      </c>
      <c r="B127" s="4">
        <v>0</v>
      </c>
      <c r="C127" s="4">
        <v>0</v>
      </c>
      <c r="D127" s="4">
        <v>1</v>
      </c>
      <c r="E127" s="4">
        <v>224</v>
      </c>
      <c r="F127" s="4">
        <f>ROUND(Source!AR100,O127)</f>
        <v>219248.26</v>
      </c>
      <c r="G127" s="4" t="s">
        <v>126</v>
      </c>
      <c r="H127" s="4" t="s">
        <v>127</v>
      </c>
      <c r="I127" s="4"/>
      <c r="J127" s="4"/>
      <c r="K127" s="4">
        <v>224</v>
      </c>
      <c r="L127" s="4">
        <v>26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3" x14ac:dyDescent="0.2">
      <c r="A128" s="4">
        <v>50</v>
      </c>
      <c r="B128" s="4">
        <v>1</v>
      </c>
      <c r="C128" s="4">
        <v>0</v>
      </c>
      <c r="D128" s="4">
        <v>2</v>
      </c>
      <c r="E128" s="4">
        <v>0</v>
      </c>
      <c r="F128" s="4">
        <f>ROUND(F127,O128)</f>
        <v>219248.26</v>
      </c>
      <c r="G128" s="4" t="s">
        <v>128</v>
      </c>
      <c r="H128" s="4" t="s">
        <v>129</v>
      </c>
      <c r="I128" s="4"/>
      <c r="J128" s="4"/>
      <c r="K128" s="4">
        <v>212</v>
      </c>
      <c r="L128" s="4">
        <v>27</v>
      </c>
      <c r="M128" s="4">
        <v>0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1</v>
      </c>
      <c r="C129" s="4">
        <v>0</v>
      </c>
      <c r="D129" s="4">
        <v>2</v>
      </c>
      <c r="E129" s="4">
        <v>0</v>
      </c>
      <c r="F129" s="4">
        <f>ROUND(F128*0.18,O129)</f>
        <v>39464.69</v>
      </c>
      <c r="G129" s="4" t="s">
        <v>130</v>
      </c>
      <c r="H129" s="4" t="s">
        <v>131</v>
      </c>
      <c r="I129" s="4"/>
      <c r="J129" s="4"/>
      <c r="K129" s="4">
        <v>212</v>
      </c>
      <c r="L129" s="4">
        <v>28</v>
      </c>
      <c r="M129" s="4">
        <v>0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1</v>
      </c>
      <c r="C130" s="4">
        <v>0</v>
      </c>
      <c r="D130" s="4">
        <v>2</v>
      </c>
      <c r="E130" s="4">
        <v>213</v>
      </c>
      <c r="F130" s="4">
        <f>ROUND(F128+F129,O130)</f>
        <v>258712.95</v>
      </c>
      <c r="G130" s="4" t="s">
        <v>132</v>
      </c>
      <c r="H130" s="4" t="s">
        <v>126</v>
      </c>
      <c r="I130" s="4"/>
      <c r="J130" s="4"/>
      <c r="K130" s="4">
        <v>212</v>
      </c>
      <c r="L130" s="4">
        <v>29</v>
      </c>
      <c r="M130" s="4">
        <v>0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3" spans="1:23" x14ac:dyDescent="0.2">
      <c r="A133">
        <v>-1</v>
      </c>
    </row>
    <row r="135" spans="1:23" x14ac:dyDescent="0.2">
      <c r="A135" s="3">
        <v>75</v>
      </c>
      <c r="B135" s="3" t="s">
        <v>133</v>
      </c>
      <c r="C135" s="3">
        <v>2018</v>
      </c>
      <c r="D135" s="3">
        <v>0</v>
      </c>
      <c r="E135" s="3">
        <v>1</v>
      </c>
      <c r="F135" s="3">
        <v>0</v>
      </c>
      <c r="G135" s="3">
        <v>0</v>
      </c>
      <c r="H135" s="3">
        <v>1</v>
      </c>
      <c r="I135" s="3">
        <v>1</v>
      </c>
      <c r="J135" s="3">
        <v>1</v>
      </c>
      <c r="K135" s="3">
        <v>78</v>
      </c>
      <c r="L135" s="3">
        <v>30</v>
      </c>
      <c r="M135" s="3">
        <v>0</v>
      </c>
      <c r="N135" s="3">
        <v>42387469</v>
      </c>
      <c r="O135" s="3">
        <v>1</v>
      </c>
    </row>
    <row r="139" spans="1:23" x14ac:dyDescent="0.2">
      <c r="A139">
        <v>65</v>
      </c>
      <c r="C139">
        <v>1</v>
      </c>
      <c r="D139">
        <v>0</v>
      </c>
      <c r="E13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134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33406</v>
      </c>
      <c r="M1">
        <v>10</v>
      </c>
      <c r="N1">
        <v>10</v>
      </c>
      <c r="O1">
        <v>1</v>
      </c>
      <c r="P1">
        <v>0</v>
      </c>
      <c r="Q1">
        <v>5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3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2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42387469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5">
        <v>3</v>
      </c>
      <c r="B16" s="5">
        <v>1</v>
      </c>
      <c r="C16" s="5" t="s">
        <v>11</v>
      </c>
      <c r="D16" s="5" t="s">
        <v>11</v>
      </c>
      <c r="E16" s="6">
        <f>(Source!F88)/1000</f>
        <v>0</v>
      </c>
      <c r="F16" s="6">
        <f>(Source!F89)/1000</f>
        <v>0</v>
      </c>
      <c r="G16" s="6">
        <f>(Source!F80)/1000</f>
        <v>0</v>
      </c>
      <c r="H16" s="6">
        <f>(Source!F90)/1000+(Source!F91)/1000</f>
        <v>219.24826000000002</v>
      </c>
      <c r="I16" s="6">
        <f>E16+F16+G16+H16</f>
        <v>219.24826000000002</v>
      </c>
      <c r="J16" s="6">
        <f>(Source!F86)/1000</f>
        <v>61.225769999999997</v>
      </c>
      <c r="AI16" s="5">
        <v>0</v>
      </c>
      <c r="AJ16" s="5">
        <v>0</v>
      </c>
      <c r="AK16" s="5" t="s">
        <v>3</v>
      </c>
      <c r="AL16" s="5" t="s">
        <v>3</v>
      </c>
      <c r="AM16" s="5" t="s">
        <v>3</v>
      </c>
      <c r="AN16" s="5">
        <v>0</v>
      </c>
      <c r="AO16" s="5" t="s">
        <v>3</v>
      </c>
      <c r="AP16" s="5" t="s">
        <v>3</v>
      </c>
      <c r="AT16" s="6">
        <v>169507.84</v>
      </c>
      <c r="AU16" s="6">
        <v>106819.97</v>
      </c>
      <c r="AV16" s="6">
        <v>0</v>
      </c>
      <c r="AW16" s="6">
        <v>0</v>
      </c>
      <c r="AX16" s="6">
        <v>0</v>
      </c>
      <c r="AY16" s="6">
        <v>1462.1</v>
      </c>
      <c r="AZ16" s="6">
        <v>703.52</v>
      </c>
      <c r="BA16" s="6">
        <v>61225.77</v>
      </c>
      <c r="BB16" s="6">
        <v>0</v>
      </c>
      <c r="BC16" s="6">
        <v>0</v>
      </c>
      <c r="BD16" s="6">
        <v>219248.26</v>
      </c>
      <c r="BE16" s="6">
        <v>0</v>
      </c>
      <c r="BF16" s="6">
        <v>310.19205999999997</v>
      </c>
      <c r="BG16" s="6">
        <v>0</v>
      </c>
      <c r="BH16" s="6">
        <v>0</v>
      </c>
      <c r="BI16" s="6">
        <v>42858.03</v>
      </c>
      <c r="BJ16" s="6">
        <v>6122.59</v>
      </c>
      <c r="BK16" s="6">
        <v>219248.26</v>
      </c>
    </row>
    <row r="18" spans="1:19" x14ac:dyDescent="0.2">
      <c r="A18">
        <v>51</v>
      </c>
      <c r="E18" s="7">
        <f>SUMIF(A16:A17,3,E16:E17)</f>
        <v>0</v>
      </c>
      <c r="F18" s="7">
        <f>SUMIF(A16:A17,3,F16:F17)</f>
        <v>0</v>
      </c>
      <c r="G18" s="7">
        <f>SUMIF(A16:A17,3,G16:G17)</f>
        <v>0</v>
      </c>
      <c r="H18" s="7">
        <f>SUMIF(A16:A17,3,H16:H17)</f>
        <v>219.24826000000002</v>
      </c>
      <c r="I18" s="7">
        <f>SUMIF(A16:A17,3,I16:I17)</f>
        <v>219.24826000000002</v>
      </c>
      <c r="J18" s="7">
        <f>SUMIF(A16:A17,3,J16:J17)</f>
        <v>61.225769999999997</v>
      </c>
      <c r="K18" s="7"/>
      <c r="L18" s="7"/>
      <c r="M18" s="7"/>
      <c r="N18" s="7"/>
      <c r="O18" s="7"/>
      <c r="P18" s="7"/>
      <c r="Q18" s="7"/>
      <c r="R18" s="7"/>
      <c r="S18" s="7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169507.84</v>
      </c>
      <c r="G20" s="4" t="s">
        <v>76</v>
      </c>
      <c r="H20" s="4" t="s">
        <v>77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106819.97</v>
      </c>
      <c r="G21" s="4" t="s">
        <v>78</v>
      </c>
      <c r="H21" s="4" t="s">
        <v>79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80</v>
      </c>
      <c r="H22" s="4" t="s">
        <v>81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106819.97</v>
      </c>
      <c r="G23" s="4" t="s">
        <v>82</v>
      </c>
      <c r="H23" s="4" t="s">
        <v>83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106819.97</v>
      </c>
      <c r="G24" s="4" t="s">
        <v>84</v>
      </c>
      <c r="H24" s="4" t="s">
        <v>85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86</v>
      </c>
      <c r="H25" s="4" t="s">
        <v>87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106819.97</v>
      </c>
      <c r="G26" s="4" t="s">
        <v>88</v>
      </c>
      <c r="H26" s="4" t="s">
        <v>89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90</v>
      </c>
      <c r="H27" s="4" t="s">
        <v>91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92</v>
      </c>
      <c r="H28" s="4" t="s">
        <v>93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94</v>
      </c>
      <c r="H29" s="4" t="s">
        <v>95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1462.1</v>
      </c>
      <c r="G30" s="4" t="s">
        <v>96</v>
      </c>
      <c r="H30" s="4" t="s">
        <v>97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98</v>
      </c>
      <c r="H31" s="4" t="s">
        <v>99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703.52</v>
      </c>
      <c r="G32" s="4" t="s">
        <v>100</v>
      </c>
      <c r="H32" s="4" t="s">
        <v>101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61225.77</v>
      </c>
      <c r="G33" s="4" t="s">
        <v>102</v>
      </c>
      <c r="H33" s="4" t="s">
        <v>103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104</v>
      </c>
      <c r="H34" s="4" t="s">
        <v>105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106</v>
      </c>
      <c r="H35" s="4" t="s">
        <v>107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108</v>
      </c>
      <c r="H36" s="4" t="s">
        <v>109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219248.26</v>
      </c>
      <c r="G37" s="4" t="s">
        <v>110</v>
      </c>
      <c r="H37" s="4" t="s">
        <v>111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112</v>
      </c>
      <c r="H38" s="4" t="s">
        <v>113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114</v>
      </c>
      <c r="H39" s="4" t="s">
        <v>115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310.19205999999997</v>
      </c>
      <c r="G40" s="4" t="s">
        <v>116</v>
      </c>
      <c r="H40" s="4" t="s">
        <v>117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118</v>
      </c>
      <c r="H41" s="4" t="s">
        <v>119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120</v>
      </c>
      <c r="H42" s="4" t="s">
        <v>121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42858.03</v>
      </c>
      <c r="G43" s="4" t="s">
        <v>122</v>
      </c>
      <c r="H43" s="4" t="s">
        <v>123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6122.59</v>
      </c>
      <c r="G44" s="4" t="s">
        <v>124</v>
      </c>
      <c r="H44" s="4" t="s">
        <v>125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219248.26</v>
      </c>
      <c r="G45" s="4" t="s">
        <v>126</v>
      </c>
      <c r="H45" s="4" t="s">
        <v>127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219248.26</v>
      </c>
      <c r="G46" s="4" t="s">
        <v>128</v>
      </c>
      <c r="H46" s="4" t="s">
        <v>129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39464.69</v>
      </c>
      <c r="G47" s="4" t="s">
        <v>130</v>
      </c>
      <c r="H47" s="4" t="s">
        <v>131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213</v>
      </c>
      <c r="F48" s="4">
        <v>258712.95</v>
      </c>
      <c r="G48" s="4" t="s">
        <v>132</v>
      </c>
      <c r="H48" s="4" t="s">
        <v>126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15" x14ac:dyDescent="0.2">
      <c r="A50">
        <v>-1</v>
      </c>
    </row>
    <row r="53" spans="1:15" x14ac:dyDescent="0.2">
      <c r="A53" s="3">
        <v>75</v>
      </c>
      <c r="B53" s="3" t="s">
        <v>133</v>
      </c>
      <c r="C53" s="3">
        <v>2018</v>
      </c>
      <c r="D53" s="3">
        <v>0</v>
      </c>
      <c r="E53" s="3">
        <v>1</v>
      </c>
      <c r="F53" s="3">
        <v>0</v>
      </c>
      <c r="G53" s="3">
        <v>0</v>
      </c>
      <c r="H53" s="3">
        <v>1</v>
      </c>
      <c r="I53" s="3">
        <v>1</v>
      </c>
      <c r="J53" s="3">
        <v>1</v>
      </c>
      <c r="K53" s="3">
        <v>78</v>
      </c>
      <c r="L53" s="3">
        <v>30</v>
      </c>
      <c r="M53" s="3">
        <v>0</v>
      </c>
      <c r="N53" s="3">
        <v>42387469</v>
      </c>
      <c r="O53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ROW(Source!A28)</f>
        <v>28</v>
      </c>
      <c r="B1">
        <v>42387469</v>
      </c>
      <c r="C1">
        <v>42387642</v>
      </c>
      <c r="D1">
        <v>41699995</v>
      </c>
      <c r="E1">
        <v>19</v>
      </c>
      <c r="F1">
        <v>1</v>
      </c>
      <c r="G1">
        <v>19</v>
      </c>
      <c r="H1">
        <v>1</v>
      </c>
      <c r="I1" t="s">
        <v>135</v>
      </c>
      <c r="J1" t="s">
        <v>3</v>
      </c>
      <c r="K1" t="s">
        <v>136</v>
      </c>
      <c r="L1">
        <v>1191</v>
      </c>
      <c r="N1">
        <v>1013</v>
      </c>
      <c r="O1" t="s">
        <v>137</v>
      </c>
      <c r="P1" t="s">
        <v>137</v>
      </c>
      <c r="Q1">
        <v>1</v>
      </c>
      <c r="W1">
        <v>0</v>
      </c>
      <c r="X1">
        <v>476480486</v>
      </c>
      <c r="Y1">
        <v>26.3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26.3</v>
      </c>
      <c r="AU1" t="s">
        <v>3</v>
      </c>
      <c r="AV1">
        <v>1</v>
      </c>
      <c r="AW1">
        <v>2</v>
      </c>
      <c r="AX1">
        <v>42387651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60.489999999999995</v>
      </c>
      <c r="CY1">
        <f>AD1</f>
        <v>0</v>
      </c>
      <c r="CZ1">
        <f>AH1</f>
        <v>0</v>
      </c>
      <c r="DA1">
        <f>AL1</f>
        <v>1</v>
      </c>
      <c r="DB1">
        <f t="shared" ref="DB1:DB32" si="0">ROUND(ROUND(AT1*CZ1,2),6)</f>
        <v>0</v>
      </c>
      <c r="DC1">
        <f t="shared" ref="DC1:DC32" si="1">ROUND(ROUND(AT1*AG1,2),6)</f>
        <v>0</v>
      </c>
    </row>
    <row r="2" spans="1:107" x14ac:dyDescent="0.2">
      <c r="A2">
        <f>ROW(Source!A28)</f>
        <v>28</v>
      </c>
      <c r="B2">
        <v>42387469</v>
      </c>
      <c r="C2">
        <v>42387642</v>
      </c>
      <c r="D2">
        <v>41710808</v>
      </c>
      <c r="E2">
        <v>1</v>
      </c>
      <c r="F2">
        <v>1</v>
      </c>
      <c r="G2">
        <v>19</v>
      </c>
      <c r="H2">
        <v>3</v>
      </c>
      <c r="I2" t="s">
        <v>138</v>
      </c>
      <c r="J2" t="s">
        <v>139</v>
      </c>
      <c r="K2" t="s">
        <v>140</v>
      </c>
      <c r="L2">
        <v>1339</v>
      </c>
      <c r="N2">
        <v>1007</v>
      </c>
      <c r="O2" t="s">
        <v>70</v>
      </c>
      <c r="P2" t="s">
        <v>70</v>
      </c>
      <c r="Q2">
        <v>1</v>
      </c>
      <c r="W2">
        <v>0</v>
      </c>
      <c r="X2">
        <v>1653821073</v>
      </c>
      <c r="Y2">
        <v>0.24</v>
      </c>
      <c r="AA2">
        <v>29.98</v>
      </c>
      <c r="AB2">
        <v>0</v>
      </c>
      <c r="AC2">
        <v>0</v>
      </c>
      <c r="AD2">
        <v>0</v>
      </c>
      <c r="AE2">
        <v>29.98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0.24</v>
      </c>
      <c r="AU2" t="s">
        <v>3</v>
      </c>
      <c r="AV2">
        <v>0</v>
      </c>
      <c r="AW2">
        <v>2</v>
      </c>
      <c r="AX2">
        <v>42387652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0.55199999999999994</v>
      </c>
      <c r="CY2">
        <f t="shared" ref="CY2:CY8" si="2">AA2</f>
        <v>29.98</v>
      </c>
      <c r="CZ2">
        <f t="shared" ref="CZ2:CZ8" si="3">AE2</f>
        <v>29.98</v>
      </c>
      <c r="DA2">
        <f t="shared" ref="DA2:DA8" si="4">AI2</f>
        <v>1</v>
      </c>
      <c r="DB2">
        <f t="shared" si="0"/>
        <v>7.2</v>
      </c>
      <c r="DC2">
        <f t="shared" si="1"/>
        <v>0</v>
      </c>
    </row>
    <row r="3" spans="1:107" x14ac:dyDescent="0.2">
      <c r="A3">
        <f>ROW(Source!A28)</f>
        <v>28</v>
      </c>
      <c r="B3">
        <v>42387469</v>
      </c>
      <c r="C3">
        <v>42387642</v>
      </c>
      <c r="D3">
        <v>41710962</v>
      </c>
      <c r="E3">
        <v>1</v>
      </c>
      <c r="F3">
        <v>1</v>
      </c>
      <c r="G3">
        <v>19</v>
      </c>
      <c r="H3">
        <v>3</v>
      </c>
      <c r="I3" t="s">
        <v>141</v>
      </c>
      <c r="J3" t="s">
        <v>142</v>
      </c>
      <c r="K3" t="s">
        <v>143</v>
      </c>
      <c r="L3">
        <v>1348</v>
      </c>
      <c r="N3">
        <v>1009</v>
      </c>
      <c r="O3" t="s">
        <v>144</v>
      </c>
      <c r="P3" t="s">
        <v>144</v>
      </c>
      <c r="Q3">
        <v>1000</v>
      </c>
      <c r="W3">
        <v>0</v>
      </c>
      <c r="X3">
        <v>-1580207076</v>
      </c>
      <c r="Y3">
        <v>1.2E-2</v>
      </c>
      <c r="AA3">
        <v>2393.4699999999998</v>
      </c>
      <c r="AB3">
        <v>0</v>
      </c>
      <c r="AC3">
        <v>0</v>
      </c>
      <c r="AD3">
        <v>0</v>
      </c>
      <c r="AE3">
        <v>2393.4699999999998</v>
      </c>
      <c r="AF3">
        <v>0</v>
      </c>
      <c r="AG3">
        <v>0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1.2E-2</v>
      </c>
      <c r="AU3" t="s">
        <v>3</v>
      </c>
      <c r="AV3">
        <v>0</v>
      </c>
      <c r="AW3">
        <v>2</v>
      </c>
      <c r="AX3">
        <v>42387653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2.76E-2</v>
      </c>
      <c r="CY3">
        <f t="shared" si="2"/>
        <v>2393.4699999999998</v>
      </c>
      <c r="CZ3">
        <f t="shared" si="3"/>
        <v>2393.4699999999998</v>
      </c>
      <c r="DA3">
        <f t="shared" si="4"/>
        <v>1</v>
      </c>
      <c r="DB3">
        <f t="shared" si="0"/>
        <v>28.72</v>
      </c>
      <c r="DC3">
        <f t="shared" si="1"/>
        <v>0</v>
      </c>
    </row>
    <row r="4" spans="1:107" x14ac:dyDescent="0.2">
      <c r="A4">
        <f>ROW(Source!A28)</f>
        <v>28</v>
      </c>
      <c r="B4">
        <v>42387469</v>
      </c>
      <c r="C4">
        <v>42387642</v>
      </c>
      <c r="D4">
        <v>41710968</v>
      </c>
      <c r="E4">
        <v>1</v>
      </c>
      <c r="F4">
        <v>1</v>
      </c>
      <c r="G4">
        <v>19</v>
      </c>
      <c r="H4">
        <v>3</v>
      </c>
      <c r="I4" t="s">
        <v>145</v>
      </c>
      <c r="J4" t="s">
        <v>146</v>
      </c>
      <c r="K4" t="s">
        <v>147</v>
      </c>
      <c r="L4">
        <v>1348</v>
      </c>
      <c r="N4">
        <v>1009</v>
      </c>
      <c r="O4" t="s">
        <v>144</v>
      </c>
      <c r="P4" t="s">
        <v>144</v>
      </c>
      <c r="Q4">
        <v>1000</v>
      </c>
      <c r="W4">
        <v>0</v>
      </c>
      <c r="X4">
        <v>-1485000216</v>
      </c>
      <c r="Y4">
        <v>6.4000000000000005E-4</v>
      </c>
      <c r="AA4">
        <v>35067.730000000003</v>
      </c>
      <c r="AB4">
        <v>0</v>
      </c>
      <c r="AC4">
        <v>0</v>
      </c>
      <c r="AD4">
        <v>0</v>
      </c>
      <c r="AE4">
        <v>35067.730000000003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6.4000000000000005E-4</v>
      </c>
      <c r="AU4" t="s">
        <v>3</v>
      </c>
      <c r="AV4">
        <v>0</v>
      </c>
      <c r="AW4">
        <v>2</v>
      </c>
      <c r="AX4">
        <v>42387654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Y4*Source!I28</f>
        <v>1.472E-3</v>
      </c>
      <c r="CY4">
        <f t="shared" si="2"/>
        <v>35067.730000000003</v>
      </c>
      <c r="CZ4">
        <f t="shared" si="3"/>
        <v>35067.730000000003</v>
      </c>
      <c r="DA4">
        <f t="shared" si="4"/>
        <v>1</v>
      </c>
      <c r="DB4">
        <f t="shared" si="0"/>
        <v>22.44</v>
      </c>
      <c r="DC4">
        <f t="shared" si="1"/>
        <v>0</v>
      </c>
    </row>
    <row r="5" spans="1:107" x14ac:dyDescent="0.2">
      <c r="A5">
        <f>ROW(Source!A28)</f>
        <v>28</v>
      </c>
      <c r="B5">
        <v>42387469</v>
      </c>
      <c r="C5">
        <v>42387642</v>
      </c>
      <c r="D5">
        <v>41711159</v>
      </c>
      <c r="E5">
        <v>1</v>
      </c>
      <c r="F5">
        <v>1</v>
      </c>
      <c r="G5">
        <v>19</v>
      </c>
      <c r="H5">
        <v>3</v>
      </c>
      <c r="I5" t="s">
        <v>148</v>
      </c>
      <c r="J5" t="s">
        <v>149</v>
      </c>
      <c r="K5" t="s">
        <v>150</v>
      </c>
      <c r="L5">
        <v>1327</v>
      </c>
      <c r="N5">
        <v>1005</v>
      </c>
      <c r="O5" t="s">
        <v>39</v>
      </c>
      <c r="P5" t="s">
        <v>39</v>
      </c>
      <c r="Q5">
        <v>1</v>
      </c>
      <c r="W5">
        <v>0</v>
      </c>
      <c r="X5">
        <v>899841616</v>
      </c>
      <c r="Y5">
        <v>0.8</v>
      </c>
      <c r="AA5">
        <v>165.36</v>
      </c>
      <c r="AB5">
        <v>0</v>
      </c>
      <c r="AC5">
        <v>0</v>
      </c>
      <c r="AD5">
        <v>0</v>
      </c>
      <c r="AE5">
        <v>165.36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0.8</v>
      </c>
      <c r="AU5" t="s">
        <v>3</v>
      </c>
      <c r="AV5">
        <v>0</v>
      </c>
      <c r="AW5">
        <v>2</v>
      </c>
      <c r="AX5">
        <v>42387655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1.8399999999999999</v>
      </c>
      <c r="CY5">
        <f t="shared" si="2"/>
        <v>165.36</v>
      </c>
      <c r="CZ5">
        <f t="shared" si="3"/>
        <v>165.36</v>
      </c>
      <c r="DA5">
        <f t="shared" si="4"/>
        <v>1</v>
      </c>
      <c r="DB5">
        <f t="shared" si="0"/>
        <v>132.29</v>
      </c>
      <c r="DC5">
        <f t="shared" si="1"/>
        <v>0</v>
      </c>
    </row>
    <row r="6" spans="1:107" x14ac:dyDescent="0.2">
      <c r="A6">
        <f>ROW(Source!A28)</f>
        <v>28</v>
      </c>
      <c r="B6">
        <v>42387469</v>
      </c>
      <c r="C6">
        <v>42387642</v>
      </c>
      <c r="D6">
        <v>41711178</v>
      </c>
      <c r="E6">
        <v>1</v>
      </c>
      <c r="F6">
        <v>1</v>
      </c>
      <c r="G6">
        <v>19</v>
      </c>
      <c r="H6">
        <v>3</v>
      </c>
      <c r="I6" t="s">
        <v>151</v>
      </c>
      <c r="J6" t="s">
        <v>152</v>
      </c>
      <c r="K6" t="s">
        <v>153</v>
      </c>
      <c r="L6">
        <v>1348</v>
      </c>
      <c r="N6">
        <v>1009</v>
      </c>
      <c r="O6" t="s">
        <v>144</v>
      </c>
      <c r="P6" t="s">
        <v>144</v>
      </c>
      <c r="Q6">
        <v>1000</v>
      </c>
      <c r="W6">
        <v>0</v>
      </c>
      <c r="X6">
        <v>843538113</v>
      </c>
      <c r="Y6">
        <v>6.4000000000000003E-3</v>
      </c>
      <c r="AA6">
        <v>15222.65</v>
      </c>
      <c r="AB6">
        <v>0</v>
      </c>
      <c r="AC6">
        <v>0</v>
      </c>
      <c r="AD6">
        <v>0</v>
      </c>
      <c r="AE6">
        <v>15222.65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6.4000000000000003E-3</v>
      </c>
      <c r="AU6" t="s">
        <v>3</v>
      </c>
      <c r="AV6">
        <v>0</v>
      </c>
      <c r="AW6">
        <v>2</v>
      </c>
      <c r="AX6">
        <v>42387656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1.4719999999999999E-2</v>
      </c>
      <c r="CY6">
        <f t="shared" si="2"/>
        <v>15222.65</v>
      </c>
      <c r="CZ6">
        <f t="shared" si="3"/>
        <v>15222.65</v>
      </c>
      <c r="DA6">
        <f t="shared" si="4"/>
        <v>1</v>
      </c>
      <c r="DB6">
        <f t="shared" si="0"/>
        <v>97.42</v>
      </c>
      <c r="DC6">
        <f t="shared" si="1"/>
        <v>0</v>
      </c>
    </row>
    <row r="7" spans="1:107" x14ac:dyDescent="0.2">
      <c r="A7">
        <f>ROW(Source!A28)</f>
        <v>28</v>
      </c>
      <c r="B7">
        <v>42387469</v>
      </c>
      <c r="C7">
        <v>42387642</v>
      </c>
      <c r="D7">
        <v>41710870</v>
      </c>
      <c r="E7">
        <v>1</v>
      </c>
      <c r="F7">
        <v>1</v>
      </c>
      <c r="G7">
        <v>19</v>
      </c>
      <c r="H7">
        <v>3</v>
      </c>
      <c r="I7" t="s">
        <v>154</v>
      </c>
      <c r="J7" t="s">
        <v>155</v>
      </c>
      <c r="K7" t="s">
        <v>156</v>
      </c>
      <c r="L7">
        <v>1348</v>
      </c>
      <c r="N7">
        <v>1009</v>
      </c>
      <c r="O7" t="s">
        <v>144</v>
      </c>
      <c r="P7" t="s">
        <v>144</v>
      </c>
      <c r="Q7">
        <v>1000</v>
      </c>
      <c r="W7">
        <v>0</v>
      </c>
      <c r="X7">
        <v>-1979692298</v>
      </c>
      <c r="Y7">
        <v>2.4299999999999999E-3</v>
      </c>
      <c r="AA7">
        <v>398091.73</v>
      </c>
      <c r="AB7">
        <v>0</v>
      </c>
      <c r="AC7">
        <v>0</v>
      </c>
      <c r="AD7">
        <v>0</v>
      </c>
      <c r="AE7">
        <v>398091.73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2.4299999999999999E-3</v>
      </c>
      <c r="AU7" t="s">
        <v>3</v>
      </c>
      <c r="AV7">
        <v>0</v>
      </c>
      <c r="AW7">
        <v>2</v>
      </c>
      <c r="AX7">
        <v>42387657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5.5889999999999994E-3</v>
      </c>
      <c r="CY7">
        <f t="shared" si="2"/>
        <v>398091.73</v>
      </c>
      <c r="CZ7">
        <f t="shared" si="3"/>
        <v>398091.73</v>
      </c>
      <c r="DA7">
        <f t="shared" si="4"/>
        <v>1</v>
      </c>
      <c r="DB7">
        <f t="shared" si="0"/>
        <v>967.36</v>
      </c>
      <c r="DC7">
        <f t="shared" si="1"/>
        <v>0</v>
      </c>
    </row>
    <row r="8" spans="1:107" x14ac:dyDescent="0.2">
      <c r="A8">
        <f>ROW(Source!A28)</f>
        <v>28</v>
      </c>
      <c r="B8">
        <v>42387469</v>
      </c>
      <c r="C8">
        <v>42387642</v>
      </c>
      <c r="D8">
        <v>41709279</v>
      </c>
      <c r="E8">
        <v>1</v>
      </c>
      <c r="F8">
        <v>1</v>
      </c>
      <c r="G8">
        <v>19</v>
      </c>
      <c r="H8">
        <v>3</v>
      </c>
      <c r="I8" t="s">
        <v>157</v>
      </c>
      <c r="J8" t="s">
        <v>158</v>
      </c>
      <c r="K8" t="s">
        <v>159</v>
      </c>
      <c r="L8">
        <v>1348</v>
      </c>
      <c r="N8">
        <v>1009</v>
      </c>
      <c r="O8" t="s">
        <v>144</v>
      </c>
      <c r="P8" t="s">
        <v>144</v>
      </c>
      <c r="Q8">
        <v>1000</v>
      </c>
      <c r="W8">
        <v>0</v>
      </c>
      <c r="X8">
        <v>-1082216174</v>
      </c>
      <c r="Y8">
        <v>6.7000000000000004E-2</v>
      </c>
      <c r="AA8">
        <v>55020.23</v>
      </c>
      <c r="AB8">
        <v>0</v>
      </c>
      <c r="AC8">
        <v>0</v>
      </c>
      <c r="AD8">
        <v>0</v>
      </c>
      <c r="AE8">
        <v>55020.23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6.7000000000000004E-2</v>
      </c>
      <c r="AU8" t="s">
        <v>3</v>
      </c>
      <c r="AV8">
        <v>0</v>
      </c>
      <c r="AW8">
        <v>2</v>
      </c>
      <c r="AX8">
        <v>42387658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0.15409999999999999</v>
      </c>
      <c r="CY8">
        <f t="shared" si="2"/>
        <v>55020.23</v>
      </c>
      <c r="CZ8">
        <f t="shared" si="3"/>
        <v>55020.23</v>
      </c>
      <c r="DA8">
        <f t="shared" si="4"/>
        <v>1</v>
      </c>
      <c r="DB8">
        <f t="shared" si="0"/>
        <v>3686.36</v>
      </c>
      <c r="DC8">
        <f t="shared" si="1"/>
        <v>0</v>
      </c>
    </row>
    <row r="9" spans="1:107" x14ac:dyDescent="0.2">
      <c r="A9">
        <f>ROW(Source!A29)</f>
        <v>29</v>
      </c>
      <c r="B9">
        <v>42387469</v>
      </c>
      <c r="C9">
        <v>42387659</v>
      </c>
      <c r="D9">
        <v>41699995</v>
      </c>
      <c r="E9">
        <v>19</v>
      </c>
      <c r="F9">
        <v>1</v>
      </c>
      <c r="G9">
        <v>19</v>
      </c>
      <c r="H9">
        <v>1</v>
      </c>
      <c r="I9" t="s">
        <v>135</v>
      </c>
      <c r="J9" t="s">
        <v>3</v>
      </c>
      <c r="K9" t="s">
        <v>136</v>
      </c>
      <c r="L9">
        <v>1191</v>
      </c>
      <c r="N9">
        <v>1013</v>
      </c>
      <c r="O9" t="s">
        <v>137</v>
      </c>
      <c r="P9" t="s">
        <v>137</v>
      </c>
      <c r="Q9">
        <v>1</v>
      </c>
      <c r="W9">
        <v>0</v>
      </c>
      <c r="X9">
        <v>476480486</v>
      </c>
      <c r="Y9">
        <v>63.4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63.4</v>
      </c>
      <c r="AU9" t="s">
        <v>3</v>
      </c>
      <c r="AV9">
        <v>1</v>
      </c>
      <c r="AW9">
        <v>2</v>
      </c>
      <c r="AX9">
        <v>42387663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Y9*Source!I29</f>
        <v>2.6691400000000001</v>
      </c>
      <c r="CY9">
        <f>AD9</f>
        <v>0</v>
      </c>
      <c r="CZ9">
        <f>AH9</f>
        <v>0</v>
      </c>
      <c r="DA9">
        <f>AL9</f>
        <v>1</v>
      </c>
      <c r="DB9">
        <f t="shared" si="0"/>
        <v>0</v>
      </c>
      <c r="DC9">
        <f t="shared" si="1"/>
        <v>0</v>
      </c>
    </row>
    <row r="10" spans="1:107" x14ac:dyDescent="0.2">
      <c r="A10">
        <f>ROW(Source!A29)</f>
        <v>29</v>
      </c>
      <c r="B10">
        <v>42387469</v>
      </c>
      <c r="C10">
        <v>42387659</v>
      </c>
      <c r="D10">
        <v>41709285</v>
      </c>
      <c r="E10">
        <v>1</v>
      </c>
      <c r="F10">
        <v>1</v>
      </c>
      <c r="G10">
        <v>19</v>
      </c>
      <c r="H10">
        <v>3</v>
      </c>
      <c r="I10" t="s">
        <v>160</v>
      </c>
      <c r="J10" t="s">
        <v>161</v>
      </c>
      <c r="K10" t="s">
        <v>162</v>
      </c>
      <c r="L10">
        <v>1348</v>
      </c>
      <c r="N10">
        <v>1009</v>
      </c>
      <c r="O10" t="s">
        <v>144</v>
      </c>
      <c r="P10" t="s">
        <v>144</v>
      </c>
      <c r="Q10">
        <v>1000</v>
      </c>
      <c r="W10">
        <v>0</v>
      </c>
      <c r="X10">
        <v>1737333692</v>
      </c>
      <c r="Y10">
        <v>1.6E-2</v>
      </c>
      <c r="AA10">
        <v>63430.02</v>
      </c>
      <c r="AB10">
        <v>0</v>
      </c>
      <c r="AC10">
        <v>0</v>
      </c>
      <c r="AD10">
        <v>0</v>
      </c>
      <c r="AE10">
        <v>63430.02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1.6E-2</v>
      </c>
      <c r="AU10" t="s">
        <v>3</v>
      </c>
      <c r="AV10">
        <v>0</v>
      </c>
      <c r="AW10">
        <v>2</v>
      </c>
      <c r="AX10">
        <v>42387664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6.736E-4</v>
      </c>
      <c r="CY10">
        <f>AA10</f>
        <v>63430.02</v>
      </c>
      <c r="CZ10">
        <f>AE10</f>
        <v>63430.02</v>
      </c>
      <c r="DA10">
        <f>AI10</f>
        <v>1</v>
      </c>
      <c r="DB10">
        <f t="shared" si="0"/>
        <v>1014.88</v>
      </c>
      <c r="DC10">
        <f t="shared" si="1"/>
        <v>0</v>
      </c>
    </row>
    <row r="11" spans="1:107" x14ac:dyDescent="0.2">
      <c r="A11">
        <f>ROW(Source!A29)</f>
        <v>29</v>
      </c>
      <c r="B11">
        <v>42387469</v>
      </c>
      <c r="C11">
        <v>42387659</v>
      </c>
      <c r="D11">
        <v>41709328</v>
      </c>
      <c r="E11">
        <v>1</v>
      </c>
      <c r="F11">
        <v>1</v>
      </c>
      <c r="G11">
        <v>19</v>
      </c>
      <c r="H11">
        <v>3</v>
      </c>
      <c r="I11" t="s">
        <v>163</v>
      </c>
      <c r="J11" t="s">
        <v>164</v>
      </c>
      <c r="K11" t="s">
        <v>165</v>
      </c>
      <c r="L11">
        <v>1346</v>
      </c>
      <c r="N11">
        <v>1009</v>
      </c>
      <c r="O11" t="s">
        <v>166</v>
      </c>
      <c r="P11" t="s">
        <v>166</v>
      </c>
      <c r="Q11">
        <v>1</v>
      </c>
      <c r="W11">
        <v>0</v>
      </c>
      <c r="X11">
        <v>994708884</v>
      </c>
      <c r="Y11">
        <v>8.6</v>
      </c>
      <c r="AA11">
        <v>67.64</v>
      </c>
      <c r="AB11">
        <v>0</v>
      </c>
      <c r="AC11">
        <v>0</v>
      </c>
      <c r="AD11">
        <v>0</v>
      </c>
      <c r="AE11">
        <v>67.64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8.6</v>
      </c>
      <c r="AU11" t="s">
        <v>3</v>
      </c>
      <c r="AV11">
        <v>0</v>
      </c>
      <c r="AW11">
        <v>2</v>
      </c>
      <c r="AX11">
        <v>42387665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0.36205999999999999</v>
      </c>
      <c r="CY11">
        <f>AA11</f>
        <v>67.64</v>
      </c>
      <c r="CZ11">
        <f>AE11</f>
        <v>67.64</v>
      </c>
      <c r="DA11">
        <f>AI11</f>
        <v>1</v>
      </c>
      <c r="DB11">
        <f t="shared" si="0"/>
        <v>581.70000000000005</v>
      </c>
      <c r="DC11">
        <f t="shared" si="1"/>
        <v>0</v>
      </c>
    </row>
    <row r="12" spans="1:107" x14ac:dyDescent="0.2">
      <c r="A12">
        <f>ROW(Source!A30)</f>
        <v>30</v>
      </c>
      <c r="B12">
        <v>42387469</v>
      </c>
      <c r="C12">
        <v>42387666</v>
      </c>
      <c r="D12">
        <v>41699995</v>
      </c>
      <c r="E12">
        <v>19</v>
      </c>
      <c r="F12">
        <v>1</v>
      </c>
      <c r="G12">
        <v>19</v>
      </c>
      <c r="H12">
        <v>1</v>
      </c>
      <c r="I12" t="s">
        <v>135</v>
      </c>
      <c r="J12" t="s">
        <v>3</v>
      </c>
      <c r="K12" t="s">
        <v>136</v>
      </c>
      <c r="L12">
        <v>1191</v>
      </c>
      <c r="N12">
        <v>1013</v>
      </c>
      <c r="O12" t="s">
        <v>137</v>
      </c>
      <c r="P12" t="s">
        <v>137</v>
      </c>
      <c r="Q12">
        <v>1</v>
      </c>
      <c r="W12">
        <v>0</v>
      </c>
      <c r="X12">
        <v>476480486</v>
      </c>
      <c r="Y12">
        <v>74.099999999999994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74.099999999999994</v>
      </c>
      <c r="AU12" t="s">
        <v>3</v>
      </c>
      <c r="AV12">
        <v>1</v>
      </c>
      <c r="AW12">
        <v>2</v>
      </c>
      <c r="AX12">
        <v>42387670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Y12*Source!I30</f>
        <v>9.247679999999999</v>
      </c>
      <c r="CY12">
        <f>AD12</f>
        <v>0</v>
      </c>
      <c r="CZ12">
        <f>AH12</f>
        <v>0</v>
      </c>
      <c r="DA12">
        <f>AL12</f>
        <v>1</v>
      </c>
      <c r="DB12">
        <f t="shared" si="0"/>
        <v>0</v>
      </c>
      <c r="DC12">
        <f t="shared" si="1"/>
        <v>0</v>
      </c>
    </row>
    <row r="13" spans="1:107" x14ac:dyDescent="0.2">
      <c r="A13">
        <f>ROW(Source!A30)</f>
        <v>30</v>
      </c>
      <c r="B13">
        <v>42387469</v>
      </c>
      <c r="C13">
        <v>42387666</v>
      </c>
      <c r="D13">
        <v>41709285</v>
      </c>
      <c r="E13">
        <v>1</v>
      </c>
      <c r="F13">
        <v>1</v>
      </c>
      <c r="G13">
        <v>19</v>
      </c>
      <c r="H13">
        <v>3</v>
      </c>
      <c r="I13" t="s">
        <v>160</v>
      </c>
      <c r="J13" t="s">
        <v>161</v>
      </c>
      <c r="K13" t="s">
        <v>162</v>
      </c>
      <c r="L13">
        <v>1348</v>
      </c>
      <c r="N13">
        <v>1009</v>
      </c>
      <c r="O13" t="s">
        <v>144</v>
      </c>
      <c r="P13" t="s">
        <v>144</v>
      </c>
      <c r="Q13">
        <v>1000</v>
      </c>
      <c r="W13">
        <v>0</v>
      </c>
      <c r="X13">
        <v>1737333692</v>
      </c>
      <c r="Y13">
        <v>1.6E-2</v>
      </c>
      <c r="AA13">
        <v>63430.02</v>
      </c>
      <c r="AB13">
        <v>0</v>
      </c>
      <c r="AC13">
        <v>0</v>
      </c>
      <c r="AD13">
        <v>0</v>
      </c>
      <c r="AE13">
        <v>63430.02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1.6E-2</v>
      </c>
      <c r="AU13" t="s">
        <v>3</v>
      </c>
      <c r="AV13">
        <v>0</v>
      </c>
      <c r="AW13">
        <v>2</v>
      </c>
      <c r="AX13">
        <v>42387671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1.9968E-3</v>
      </c>
      <c r="CY13">
        <f>AA13</f>
        <v>63430.02</v>
      </c>
      <c r="CZ13">
        <f>AE13</f>
        <v>63430.02</v>
      </c>
      <c r="DA13">
        <f>AI13</f>
        <v>1</v>
      </c>
      <c r="DB13">
        <f t="shared" si="0"/>
        <v>1014.88</v>
      </c>
      <c r="DC13">
        <f t="shared" si="1"/>
        <v>0</v>
      </c>
    </row>
    <row r="14" spans="1:107" x14ac:dyDescent="0.2">
      <c r="A14">
        <f>ROW(Source!A30)</f>
        <v>30</v>
      </c>
      <c r="B14">
        <v>42387469</v>
      </c>
      <c r="C14">
        <v>42387666</v>
      </c>
      <c r="D14">
        <v>41709328</v>
      </c>
      <c r="E14">
        <v>1</v>
      </c>
      <c r="F14">
        <v>1</v>
      </c>
      <c r="G14">
        <v>19</v>
      </c>
      <c r="H14">
        <v>3</v>
      </c>
      <c r="I14" t="s">
        <v>163</v>
      </c>
      <c r="J14" t="s">
        <v>164</v>
      </c>
      <c r="K14" t="s">
        <v>165</v>
      </c>
      <c r="L14">
        <v>1346</v>
      </c>
      <c r="N14">
        <v>1009</v>
      </c>
      <c r="O14" t="s">
        <v>166</v>
      </c>
      <c r="P14" t="s">
        <v>166</v>
      </c>
      <c r="Q14">
        <v>1</v>
      </c>
      <c r="W14">
        <v>0</v>
      </c>
      <c r="X14">
        <v>994708884</v>
      </c>
      <c r="Y14">
        <v>8.9</v>
      </c>
      <c r="AA14">
        <v>67.64</v>
      </c>
      <c r="AB14">
        <v>0</v>
      </c>
      <c r="AC14">
        <v>0</v>
      </c>
      <c r="AD14">
        <v>0</v>
      </c>
      <c r="AE14">
        <v>67.64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8.9</v>
      </c>
      <c r="AU14" t="s">
        <v>3</v>
      </c>
      <c r="AV14">
        <v>0</v>
      </c>
      <c r="AW14">
        <v>2</v>
      </c>
      <c r="AX14">
        <v>42387672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1.1107199999999999</v>
      </c>
      <c r="CY14">
        <f>AA14</f>
        <v>67.64</v>
      </c>
      <c r="CZ14">
        <f>AE14</f>
        <v>67.64</v>
      </c>
      <c r="DA14">
        <f>AI14</f>
        <v>1</v>
      </c>
      <c r="DB14">
        <f t="shared" si="0"/>
        <v>602</v>
      </c>
      <c r="DC14">
        <f t="shared" si="1"/>
        <v>0</v>
      </c>
    </row>
    <row r="15" spans="1:107" x14ac:dyDescent="0.2">
      <c r="A15">
        <f>ROW(Source!A31)</f>
        <v>31</v>
      </c>
      <c r="B15">
        <v>42387469</v>
      </c>
      <c r="C15">
        <v>42388939</v>
      </c>
      <c r="D15">
        <v>41699995</v>
      </c>
      <c r="E15">
        <v>19</v>
      </c>
      <c r="F15">
        <v>1</v>
      </c>
      <c r="G15">
        <v>19</v>
      </c>
      <c r="H15">
        <v>1</v>
      </c>
      <c r="I15" t="s">
        <v>135</v>
      </c>
      <c r="J15" t="s">
        <v>3</v>
      </c>
      <c r="K15" t="s">
        <v>136</v>
      </c>
      <c r="L15">
        <v>1191</v>
      </c>
      <c r="N15">
        <v>1013</v>
      </c>
      <c r="O15" t="s">
        <v>137</v>
      </c>
      <c r="P15" t="s">
        <v>137</v>
      </c>
      <c r="Q15">
        <v>1</v>
      </c>
      <c r="W15">
        <v>0</v>
      </c>
      <c r="X15">
        <v>476480486</v>
      </c>
      <c r="Y15">
        <v>5.8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5.8</v>
      </c>
      <c r="AU15" t="s">
        <v>3</v>
      </c>
      <c r="AV15">
        <v>1</v>
      </c>
      <c r="AW15">
        <v>2</v>
      </c>
      <c r="AX15">
        <v>42388940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Y15*Source!I31</f>
        <v>5.1040000000000001</v>
      </c>
      <c r="CY15">
        <f>AD15</f>
        <v>0</v>
      </c>
      <c r="CZ15">
        <f>AH15</f>
        <v>0</v>
      </c>
      <c r="DA15">
        <f>AL15</f>
        <v>1</v>
      </c>
      <c r="DB15">
        <f t="shared" si="0"/>
        <v>0</v>
      </c>
      <c r="DC15">
        <f t="shared" si="1"/>
        <v>0</v>
      </c>
    </row>
    <row r="16" spans="1:107" x14ac:dyDescent="0.2">
      <c r="A16">
        <f>ROW(Source!A31)</f>
        <v>31</v>
      </c>
      <c r="B16">
        <v>42387469</v>
      </c>
      <c r="C16">
        <v>42388939</v>
      </c>
      <c r="D16">
        <v>41710631</v>
      </c>
      <c r="E16">
        <v>1</v>
      </c>
      <c r="F16">
        <v>1</v>
      </c>
      <c r="G16">
        <v>19</v>
      </c>
      <c r="H16">
        <v>3</v>
      </c>
      <c r="I16" t="s">
        <v>167</v>
      </c>
      <c r="J16" t="s">
        <v>168</v>
      </c>
      <c r="K16" t="s">
        <v>169</v>
      </c>
      <c r="L16">
        <v>1346</v>
      </c>
      <c r="N16">
        <v>1009</v>
      </c>
      <c r="O16" t="s">
        <v>166</v>
      </c>
      <c r="P16" t="s">
        <v>166</v>
      </c>
      <c r="Q16">
        <v>1</v>
      </c>
      <c r="W16">
        <v>0</v>
      </c>
      <c r="X16">
        <v>11558892</v>
      </c>
      <c r="Y16">
        <v>2.5000000000000001E-2</v>
      </c>
      <c r="AA16">
        <v>28.66</v>
      </c>
      <c r="AB16">
        <v>0</v>
      </c>
      <c r="AC16">
        <v>0</v>
      </c>
      <c r="AD16">
        <v>0</v>
      </c>
      <c r="AE16">
        <v>28.66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2.5000000000000001E-2</v>
      </c>
      <c r="AU16" t="s">
        <v>3</v>
      </c>
      <c r="AV16">
        <v>0</v>
      </c>
      <c r="AW16">
        <v>2</v>
      </c>
      <c r="AX16">
        <v>42388941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2.2000000000000002E-2</v>
      </c>
      <c r="CY16">
        <f t="shared" ref="CY16:CY21" si="5">AA16</f>
        <v>28.66</v>
      </c>
      <c r="CZ16">
        <f t="shared" ref="CZ16:CZ21" si="6">AE16</f>
        <v>28.66</v>
      </c>
      <c r="DA16">
        <f t="shared" ref="DA16:DA21" si="7">AI16</f>
        <v>1</v>
      </c>
      <c r="DB16">
        <f t="shared" si="0"/>
        <v>0.72</v>
      </c>
      <c r="DC16">
        <f t="shared" si="1"/>
        <v>0</v>
      </c>
    </row>
    <row r="17" spans="1:107" x14ac:dyDescent="0.2">
      <c r="A17">
        <f>ROW(Source!A31)</f>
        <v>31</v>
      </c>
      <c r="B17">
        <v>42387469</v>
      </c>
      <c r="C17">
        <v>42388939</v>
      </c>
      <c r="D17">
        <v>41711159</v>
      </c>
      <c r="E17">
        <v>1</v>
      </c>
      <c r="F17">
        <v>1</v>
      </c>
      <c r="G17">
        <v>19</v>
      </c>
      <c r="H17">
        <v>3</v>
      </c>
      <c r="I17" t="s">
        <v>148</v>
      </c>
      <c r="J17" t="s">
        <v>170</v>
      </c>
      <c r="K17" t="s">
        <v>150</v>
      </c>
      <c r="L17">
        <v>1327</v>
      </c>
      <c r="N17">
        <v>1005</v>
      </c>
      <c r="O17" t="s">
        <v>39</v>
      </c>
      <c r="P17" t="s">
        <v>39</v>
      </c>
      <c r="Q17">
        <v>1</v>
      </c>
      <c r="W17">
        <v>0</v>
      </c>
      <c r="X17">
        <v>-1839731408</v>
      </c>
      <c r="Y17">
        <v>5.8000000000000003E-2</v>
      </c>
      <c r="AA17">
        <v>165.36</v>
      </c>
      <c r="AB17">
        <v>0</v>
      </c>
      <c r="AC17">
        <v>0</v>
      </c>
      <c r="AD17">
        <v>0</v>
      </c>
      <c r="AE17">
        <v>165.36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5.8000000000000003E-2</v>
      </c>
      <c r="AU17" t="s">
        <v>3</v>
      </c>
      <c r="AV17">
        <v>0</v>
      </c>
      <c r="AW17">
        <v>2</v>
      </c>
      <c r="AX17">
        <v>42388942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5.1040000000000002E-2</v>
      </c>
      <c r="CY17">
        <f t="shared" si="5"/>
        <v>165.36</v>
      </c>
      <c r="CZ17">
        <f t="shared" si="6"/>
        <v>165.36</v>
      </c>
      <c r="DA17">
        <f t="shared" si="7"/>
        <v>1</v>
      </c>
      <c r="DB17">
        <f t="shared" si="0"/>
        <v>9.59</v>
      </c>
      <c r="DC17">
        <f t="shared" si="1"/>
        <v>0</v>
      </c>
    </row>
    <row r="18" spans="1:107" x14ac:dyDescent="0.2">
      <c r="A18">
        <f>ROW(Source!A31)</f>
        <v>31</v>
      </c>
      <c r="B18">
        <v>42387469</v>
      </c>
      <c r="C18">
        <v>42388939</v>
      </c>
      <c r="D18">
        <v>41700690</v>
      </c>
      <c r="E18">
        <v>19</v>
      </c>
      <c r="F18">
        <v>1</v>
      </c>
      <c r="G18">
        <v>19</v>
      </c>
      <c r="H18">
        <v>3</v>
      </c>
      <c r="I18" t="s">
        <v>151</v>
      </c>
      <c r="J18" t="s">
        <v>3</v>
      </c>
      <c r="K18" t="s">
        <v>153</v>
      </c>
      <c r="L18">
        <v>1346</v>
      </c>
      <c r="N18">
        <v>1009</v>
      </c>
      <c r="O18" t="s">
        <v>166</v>
      </c>
      <c r="P18" t="s">
        <v>166</v>
      </c>
      <c r="Q18">
        <v>1</v>
      </c>
      <c r="W18">
        <v>0</v>
      </c>
      <c r="X18">
        <v>1354926896</v>
      </c>
      <c r="Y18">
        <v>0.39300000000000002</v>
      </c>
      <c r="AA18">
        <v>15.22</v>
      </c>
      <c r="AB18">
        <v>0</v>
      </c>
      <c r="AC18">
        <v>0</v>
      </c>
      <c r="AD18">
        <v>0</v>
      </c>
      <c r="AE18">
        <v>15.22265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0.39300000000000002</v>
      </c>
      <c r="AU18" t="s">
        <v>3</v>
      </c>
      <c r="AV18">
        <v>0</v>
      </c>
      <c r="AW18">
        <v>2</v>
      </c>
      <c r="AX18">
        <v>42388944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0.34584000000000004</v>
      </c>
      <c r="CY18">
        <f t="shared" si="5"/>
        <v>15.22</v>
      </c>
      <c r="CZ18">
        <f t="shared" si="6"/>
        <v>15.22265</v>
      </c>
      <c r="DA18">
        <f t="shared" si="7"/>
        <v>1</v>
      </c>
      <c r="DB18">
        <f t="shared" si="0"/>
        <v>5.98</v>
      </c>
      <c r="DC18">
        <f t="shared" si="1"/>
        <v>0</v>
      </c>
    </row>
    <row r="19" spans="1:107" x14ac:dyDescent="0.2">
      <c r="A19">
        <f>ROW(Source!A31)</f>
        <v>31</v>
      </c>
      <c r="B19">
        <v>42387469</v>
      </c>
      <c r="C19">
        <v>42388939</v>
      </c>
      <c r="D19">
        <v>41700700</v>
      </c>
      <c r="E19">
        <v>19</v>
      </c>
      <c r="F19">
        <v>1</v>
      </c>
      <c r="G19">
        <v>19</v>
      </c>
      <c r="H19">
        <v>3</v>
      </c>
      <c r="I19" t="s">
        <v>171</v>
      </c>
      <c r="J19" t="s">
        <v>3</v>
      </c>
      <c r="K19" t="s">
        <v>172</v>
      </c>
      <c r="L19">
        <v>1346</v>
      </c>
      <c r="N19">
        <v>1009</v>
      </c>
      <c r="O19" t="s">
        <v>166</v>
      </c>
      <c r="P19" t="s">
        <v>166</v>
      </c>
      <c r="Q19">
        <v>1</v>
      </c>
      <c r="W19">
        <v>0</v>
      </c>
      <c r="X19">
        <v>-1659956746</v>
      </c>
      <c r="Y19">
        <v>3.0000000000000001E-3</v>
      </c>
      <c r="AA19">
        <v>56.66</v>
      </c>
      <c r="AB19">
        <v>0</v>
      </c>
      <c r="AC19">
        <v>0</v>
      </c>
      <c r="AD19">
        <v>0</v>
      </c>
      <c r="AE19">
        <v>56.658110000000001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3.0000000000000001E-3</v>
      </c>
      <c r="AU19" t="s">
        <v>3</v>
      </c>
      <c r="AV19">
        <v>0</v>
      </c>
      <c r="AW19">
        <v>2</v>
      </c>
      <c r="AX19">
        <v>42388946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2.64E-3</v>
      </c>
      <c r="CY19">
        <f t="shared" si="5"/>
        <v>56.66</v>
      </c>
      <c r="CZ19">
        <f t="shared" si="6"/>
        <v>56.658110000000001</v>
      </c>
      <c r="DA19">
        <f t="shared" si="7"/>
        <v>1</v>
      </c>
      <c r="DB19">
        <f t="shared" si="0"/>
        <v>0.17</v>
      </c>
      <c r="DC19">
        <f t="shared" si="1"/>
        <v>0</v>
      </c>
    </row>
    <row r="20" spans="1:107" x14ac:dyDescent="0.2">
      <c r="A20">
        <f>ROW(Source!A31)</f>
        <v>31</v>
      </c>
      <c r="B20">
        <v>42387469</v>
      </c>
      <c r="C20">
        <v>42388939</v>
      </c>
      <c r="D20">
        <v>41700688</v>
      </c>
      <c r="E20">
        <v>19</v>
      </c>
      <c r="F20">
        <v>1</v>
      </c>
      <c r="G20">
        <v>19</v>
      </c>
      <c r="H20">
        <v>3</v>
      </c>
      <c r="I20" t="s">
        <v>160</v>
      </c>
      <c r="J20" t="s">
        <v>3</v>
      </c>
      <c r="K20" t="s">
        <v>162</v>
      </c>
      <c r="L20">
        <v>1346</v>
      </c>
      <c r="N20">
        <v>1009</v>
      </c>
      <c r="O20" t="s">
        <v>166</v>
      </c>
      <c r="P20" t="s">
        <v>166</v>
      </c>
      <c r="Q20">
        <v>1</v>
      </c>
      <c r="W20">
        <v>0</v>
      </c>
      <c r="X20">
        <v>1173620707</v>
      </c>
      <c r="Y20">
        <v>1.845</v>
      </c>
      <c r="AA20">
        <v>63.43</v>
      </c>
      <c r="AB20">
        <v>0</v>
      </c>
      <c r="AC20">
        <v>0</v>
      </c>
      <c r="AD20">
        <v>0</v>
      </c>
      <c r="AE20">
        <v>63.430019999999999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1.845</v>
      </c>
      <c r="AU20" t="s">
        <v>3</v>
      </c>
      <c r="AV20">
        <v>0</v>
      </c>
      <c r="AW20">
        <v>2</v>
      </c>
      <c r="AX20">
        <v>42388945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1.6235999999999999</v>
      </c>
      <c r="CY20">
        <f t="shared" si="5"/>
        <v>63.43</v>
      </c>
      <c r="CZ20">
        <f t="shared" si="6"/>
        <v>63.430019999999999</v>
      </c>
      <c r="DA20">
        <f t="shared" si="7"/>
        <v>1</v>
      </c>
      <c r="DB20">
        <f t="shared" si="0"/>
        <v>117.03</v>
      </c>
      <c r="DC20">
        <f t="shared" si="1"/>
        <v>0</v>
      </c>
    </row>
    <row r="21" spans="1:107" x14ac:dyDescent="0.2">
      <c r="A21">
        <f>ROW(Source!A31)</f>
        <v>31</v>
      </c>
      <c r="B21">
        <v>42387469</v>
      </c>
      <c r="C21">
        <v>42388939</v>
      </c>
      <c r="D21">
        <v>41709328</v>
      </c>
      <c r="E21">
        <v>1</v>
      </c>
      <c r="F21">
        <v>1</v>
      </c>
      <c r="G21">
        <v>19</v>
      </c>
      <c r="H21">
        <v>3</v>
      </c>
      <c r="I21" t="s">
        <v>163</v>
      </c>
      <c r="J21" t="s">
        <v>173</v>
      </c>
      <c r="K21" t="s">
        <v>165</v>
      </c>
      <c r="L21">
        <v>1346</v>
      </c>
      <c r="N21">
        <v>1009</v>
      </c>
      <c r="O21" t="s">
        <v>166</v>
      </c>
      <c r="P21" t="s">
        <v>166</v>
      </c>
      <c r="Q21">
        <v>1</v>
      </c>
      <c r="W21">
        <v>0</v>
      </c>
      <c r="X21">
        <v>1445407758</v>
      </c>
      <c r="Y21">
        <v>0.13800000000000001</v>
      </c>
      <c r="AA21">
        <v>67.64</v>
      </c>
      <c r="AB21">
        <v>0</v>
      </c>
      <c r="AC21">
        <v>0</v>
      </c>
      <c r="AD21">
        <v>0</v>
      </c>
      <c r="AE21">
        <v>67.64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0.13800000000000001</v>
      </c>
      <c r="AU21" t="s">
        <v>3</v>
      </c>
      <c r="AV21">
        <v>0</v>
      </c>
      <c r="AW21">
        <v>2</v>
      </c>
      <c r="AX21">
        <v>42388943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0.12144000000000001</v>
      </c>
      <c r="CY21">
        <f t="shared" si="5"/>
        <v>67.64</v>
      </c>
      <c r="CZ21">
        <f t="shared" si="6"/>
        <v>67.64</v>
      </c>
      <c r="DA21">
        <f t="shared" si="7"/>
        <v>1</v>
      </c>
      <c r="DB21">
        <f t="shared" si="0"/>
        <v>9.33</v>
      </c>
      <c r="DC21">
        <f t="shared" si="1"/>
        <v>0</v>
      </c>
    </row>
    <row r="22" spans="1:107" x14ac:dyDescent="0.2">
      <c r="A22">
        <f>ROW(Source!A32)</f>
        <v>32</v>
      </c>
      <c r="B22">
        <v>42387469</v>
      </c>
      <c r="C22">
        <v>42387673</v>
      </c>
      <c r="D22">
        <v>41699995</v>
      </c>
      <c r="E22">
        <v>19</v>
      </c>
      <c r="F22">
        <v>1</v>
      </c>
      <c r="G22">
        <v>19</v>
      </c>
      <c r="H22">
        <v>1</v>
      </c>
      <c r="I22" t="s">
        <v>135</v>
      </c>
      <c r="J22" t="s">
        <v>3</v>
      </c>
      <c r="K22" t="s">
        <v>136</v>
      </c>
      <c r="L22">
        <v>1191</v>
      </c>
      <c r="N22">
        <v>1013</v>
      </c>
      <c r="O22" t="s">
        <v>137</v>
      </c>
      <c r="P22" t="s">
        <v>137</v>
      </c>
      <c r="Q22">
        <v>1</v>
      </c>
      <c r="W22">
        <v>0</v>
      </c>
      <c r="X22">
        <v>476480486</v>
      </c>
      <c r="Y22">
        <v>0.7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0.7</v>
      </c>
      <c r="AU22" t="s">
        <v>3</v>
      </c>
      <c r="AV22">
        <v>1</v>
      </c>
      <c r="AW22">
        <v>2</v>
      </c>
      <c r="AX22">
        <v>42387681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19.46</v>
      </c>
      <c r="CY22">
        <f>AD22</f>
        <v>0</v>
      </c>
      <c r="CZ22">
        <f>AH22</f>
        <v>0</v>
      </c>
      <c r="DA22">
        <f>AL22</f>
        <v>1</v>
      </c>
      <c r="DB22">
        <f t="shared" si="0"/>
        <v>0</v>
      </c>
      <c r="DC22">
        <f t="shared" si="1"/>
        <v>0</v>
      </c>
    </row>
    <row r="23" spans="1:107" x14ac:dyDescent="0.2">
      <c r="A23">
        <f>ROW(Source!A32)</f>
        <v>32</v>
      </c>
      <c r="B23">
        <v>42387469</v>
      </c>
      <c r="C23">
        <v>42387673</v>
      </c>
      <c r="D23">
        <v>41708822</v>
      </c>
      <c r="E23">
        <v>1</v>
      </c>
      <c r="F23">
        <v>1</v>
      </c>
      <c r="G23">
        <v>19</v>
      </c>
      <c r="H23">
        <v>2</v>
      </c>
      <c r="I23" t="s">
        <v>174</v>
      </c>
      <c r="J23" t="s">
        <v>175</v>
      </c>
      <c r="K23" t="s">
        <v>176</v>
      </c>
      <c r="L23">
        <v>1368</v>
      </c>
      <c r="N23">
        <v>1011</v>
      </c>
      <c r="O23" t="s">
        <v>177</v>
      </c>
      <c r="P23" t="s">
        <v>177</v>
      </c>
      <c r="Q23">
        <v>1</v>
      </c>
      <c r="W23">
        <v>0</v>
      </c>
      <c r="X23">
        <v>1384422694</v>
      </c>
      <c r="Y23">
        <v>0.12</v>
      </c>
      <c r="AA23">
        <v>0</v>
      </c>
      <c r="AB23">
        <v>3.83</v>
      </c>
      <c r="AC23">
        <v>0.87</v>
      </c>
      <c r="AD23">
        <v>0</v>
      </c>
      <c r="AE23">
        <v>0</v>
      </c>
      <c r="AF23">
        <v>3.83</v>
      </c>
      <c r="AG23">
        <v>0.87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0.12</v>
      </c>
      <c r="AU23" t="s">
        <v>3</v>
      </c>
      <c r="AV23">
        <v>0</v>
      </c>
      <c r="AW23">
        <v>2</v>
      </c>
      <c r="AX23">
        <v>42387682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3.3359999999999999</v>
      </c>
      <c r="CY23">
        <f>AB23</f>
        <v>3.83</v>
      </c>
      <c r="CZ23">
        <f>AF23</f>
        <v>3.83</v>
      </c>
      <c r="DA23">
        <f>AJ23</f>
        <v>1</v>
      </c>
      <c r="DB23">
        <f t="shared" si="0"/>
        <v>0.46</v>
      </c>
      <c r="DC23">
        <f t="shared" si="1"/>
        <v>0.1</v>
      </c>
    </row>
    <row r="24" spans="1:107" x14ac:dyDescent="0.2">
      <c r="A24">
        <f>ROW(Source!A32)</f>
        <v>32</v>
      </c>
      <c r="B24">
        <v>42387469</v>
      </c>
      <c r="C24">
        <v>42387673</v>
      </c>
      <c r="D24">
        <v>41708823</v>
      </c>
      <c r="E24">
        <v>1</v>
      </c>
      <c r="F24">
        <v>1</v>
      </c>
      <c r="G24">
        <v>19</v>
      </c>
      <c r="H24">
        <v>2</v>
      </c>
      <c r="I24" t="s">
        <v>178</v>
      </c>
      <c r="J24" t="s">
        <v>179</v>
      </c>
      <c r="K24" t="s">
        <v>180</v>
      </c>
      <c r="L24">
        <v>1368</v>
      </c>
      <c r="N24">
        <v>1011</v>
      </c>
      <c r="O24" t="s">
        <v>177</v>
      </c>
      <c r="P24" t="s">
        <v>177</v>
      </c>
      <c r="Q24">
        <v>1</v>
      </c>
      <c r="W24">
        <v>0</v>
      </c>
      <c r="X24">
        <v>-1925005545</v>
      </c>
      <c r="Y24">
        <v>0.12</v>
      </c>
      <c r="AA24">
        <v>0</v>
      </c>
      <c r="AB24">
        <v>8.9</v>
      </c>
      <c r="AC24">
        <v>0.63</v>
      </c>
      <c r="AD24">
        <v>0</v>
      </c>
      <c r="AE24">
        <v>0</v>
      </c>
      <c r="AF24">
        <v>8.9</v>
      </c>
      <c r="AG24">
        <v>0.63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0.12</v>
      </c>
      <c r="AU24" t="s">
        <v>3</v>
      </c>
      <c r="AV24">
        <v>0</v>
      </c>
      <c r="AW24">
        <v>2</v>
      </c>
      <c r="AX24">
        <v>42387683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3.3359999999999999</v>
      </c>
      <c r="CY24">
        <f>AB24</f>
        <v>8.9</v>
      </c>
      <c r="CZ24">
        <f>AF24</f>
        <v>8.9</v>
      </c>
      <c r="DA24">
        <f>AJ24</f>
        <v>1</v>
      </c>
      <c r="DB24">
        <f t="shared" si="0"/>
        <v>1.07</v>
      </c>
      <c r="DC24">
        <f t="shared" si="1"/>
        <v>0.08</v>
      </c>
    </row>
    <row r="25" spans="1:107" x14ac:dyDescent="0.2">
      <c r="A25">
        <f>ROW(Source!A32)</f>
        <v>32</v>
      </c>
      <c r="B25">
        <v>42387469</v>
      </c>
      <c r="C25">
        <v>42387673</v>
      </c>
      <c r="D25">
        <v>41708844</v>
      </c>
      <c r="E25">
        <v>1</v>
      </c>
      <c r="F25">
        <v>1</v>
      </c>
      <c r="G25">
        <v>19</v>
      </c>
      <c r="H25">
        <v>2</v>
      </c>
      <c r="I25" t="s">
        <v>181</v>
      </c>
      <c r="J25" t="s">
        <v>182</v>
      </c>
      <c r="K25" t="s">
        <v>183</v>
      </c>
      <c r="L25">
        <v>1368</v>
      </c>
      <c r="N25">
        <v>1011</v>
      </c>
      <c r="O25" t="s">
        <v>177</v>
      </c>
      <c r="P25" t="s">
        <v>177</v>
      </c>
      <c r="Q25">
        <v>1</v>
      </c>
      <c r="W25">
        <v>0</v>
      </c>
      <c r="X25">
        <v>-1831571180</v>
      </c>
      <c r="Y25">
        <v>0.06</v>
      </c>
      <c r="AA25">
        <v>0</v>
      </c>
      <c r="AB25">
        <v>319.62</v>
      </c>
      <c r="AC25">
        <v>250.52</v>
      </c>
      <c r="AD25">
        <v>0</v>
      </c>
      <c r="AE25">
        <v>0</v>
      </c>
      <c r="AF25">
        <v>319.62</v>
      </c>
      <c r="AG25">
        <v>250.52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0.06</v>
      </c>
      <c r="AU25" t="s">
        <v>3</v>
      </c>
      <c r="AV25">
        <v>0</v>
      </c>
      <c r="AW25">
        <v>2</v>
      </c>
      <c r="AX25">
        <v>42387684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1.6679999999999999</v>
      </c>
      <c r="CY25">
        <f>AB25</f>
        <v>319.62</v>
      </c>
      <c r="CZ25">
        <f>AF25</f>
        <v>319.62</v>
      </c>
      <c r="DA25">
        <f>AJ25</f>
        <v>1</v>
      </c>
      <c r="DB25">
        <f t="shared" si="0"/>
        <v>19.18</v>
      </c>
      <c r="DC25">
        <f t="shared" si="1"/>
        <v>15.03</v>
      </c>
    </row>
    <row r="26" spans="1:107" x14ac:dyDescent="0.2">
      <c r="A26">
        <f>ROW(Source!A32)</f>
        <v>32</v>
      </c>
      <c r="B26">
        <v>42387469</v>
      </c>
      <c r="C26">
        <v>42387673</v>
      </c>
      <c r="D26">
        <v>41708863</v>
      </c>
      <c r="E26">
        <v>1</v>
      </c>
      <c r="F26">
        <v>1</v>
      </c>
      <c r="G26">
        <v>19</v>
      </c>
      <c r="H26">
        <v>2</v>
      </c>
      <c r="I26" t="s">
        <v>184</v>
      </c>
      <c r="J26" t="s">
        <v>185</v>
      </c>
      <c r="K26" t="s">
        <v>186</v>
      </c>
      <c r="L26">
        <v>1368</v>
      </c>
      <c r="N26">
        <v>1011</v>
      </c>
      <c r="O26" t="s">
        <v>177</v>
      </c>
      <c r="P26" t="s">
        <v>177</v>
      </c>
      <c r="Q26">
        <v>1</v>
      </c>
      <c r="W26">
        <v>0</v>
      </c>
      <c r="X26">
        <v>-1677627449</v>
      </c>
      <c r="Y26">
        <v>0.18</v>
      </c>
      <c r="AA26">
        <v>0</v>
      </c>
      <c r="AB26">
        <v>21.71</v>
      </c>
      <c r="AC26">
        <v>3.11</v>
      </c>
      <c r="AD26">
        <v>0</v>
      </c>
      <c r="AE26">
        <v>0</v>
      </c>
      <c r="AF26">
        <v>21.71</v>
      </c>
      <c r="AG26">
        <v>3.11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0.18</v>
      </c>
      <c r="AU26" t="s">
        <v>3</v>
      </c>
      <c r="AV26">
        <v>0</v>
      </c>
      <c r="AW26">
        <v>2</v>
      </c>
      <c r="AX26">
        <v>42387685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5.0039999999999996</v>
      </c>
      <c r="CY26">
        <f>AB26</f>
        <v>21.71</v>
      </c>
      <c r="CZ26">
        <f>AF26</f>
        <v>21.71</v>
      </c>
      <c r="DA26">
        <f>AJ26</f>
        <v>1</v>
      </c>
      <c r="DB26">
        <f t="shared" si="0"/>
        <v>3.91</v>
      </c>
      <c r="DC26">
        <f t="shared" si="1"/>
        <v>0.56000000000000005</v>
      </c>
    </row>
    <row r="27" spans="1:107" x14ac:dyDescent="0.2">
      <c r="A27">
        <f>ROW(Source!A32)</f>
        <v>32</v>
      </c>
      <c r="B27">
        <v>42387469</v>
      </c>
      <c r="C27">
        <v>42387673</v>
      </c>
      <c r="D27">
        <v>41709903</v>
      </c>
      <c r="E27">
        <v>1</v>
      </c>
      <c r="F27">
        <v>1</v>
      </c>
      <c r="G27">
        <v>19</v>
      </c>
      <c r="H27">
        <v>3</v>
      </c>
      <c r="I27" t="s">
        <v>187</v>
      </c>
      <c r="J27" t="s">
        <v>188</v>
      </c>
      <c r="K27" t="s">
        <v>189</v>
      </c>
      <c r="L27">
        <v>1348</v>
      </c>
      <c r="N27">
        <v>1009</v>
      </c>
      <c r="O27" t="s">
        <v>144</v>
      </c>
      <c r="P27" t="s">
        <v>144</v>
      </c>
      <c r="Q27">
        <v>1000</v>
      </c>
      <c r="W27">
        <v>0</v>
      </c>
      <c r="X27">
        <v>1574046373</v>
      </c>
      <c r="Y27">
        <v>4.0000000000000003E-5</v>
      </c>
      <c r="AA27">
        <v>45454.3</v>
      </c>
      <c r="AB27">
        <v>0</v>
      </c>
      <c r="AC27">
        <v>0</v>
      </c>
      <c r="AD27">
        <v>0</v>
      </c>
      <c r="AE27">
        <v>45454.3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4.0000000000000003E-5</v>
      </c>
      <c r="AU27" t="s">
        <v>3</v>
      </c>
      <c r="AV27">
        <v>0</v>
      </c>
      <c r="AW27">
        <v>2</v>
      </c>
      <c r="AX27">
        <v>42387686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1.1120000000000001E-3</v>
      </c>
      <c r="CY27">
        <f>AA27</f>
        <v>45454.3</v>
      </c>
      <c r="CZ27">
        <f>AE27</f>
        <v>45454.3</v>
      </c>
      <c r="DA27">
        <f>AI27</f>
        <v>1</v>
      </c>
      <c r="DB27">
        <f t="shared" si="0"/>
        <v>1.82</v>
      </c>
      <c r="DC27">
        <f t="shared" si="1"/>
        <v>0</v>
      </c>
    </row>
    <row r="28" spans="1:107" x14ac:dyDescent="0.2">
      <c r="A28">
        <f>ROW(Source!A32)</f>
        <v>32</v>
      </c>
      <c r="B28">
        <v>42387469</v>
      </c>
      <c r="C28">
        <v>42387673</v>
      </c>
      <c r="D28">
        <v>41709520</v>
      </c>
      <c r="E28">
        <v>1</v>
      </c>
      <c r="F28">
        <v>1</v>
      </c>
      <c r="G28">
        <v>19</v>
      </c>
      <c r="H28">
        <v>3</v>
      </c>
      <c r="I28" t="s">
        <v>190</v>
      </c>
      <c r="J28" t="s">
        <v>191</v>
      </c>
      <c r="K28" t="s">
        <v>192</v>
      </c>
      <c r="L28">
        <v>1339</v>
      </c>
      <c r="N28">
        <v>1007</v>
      </c>
      <c r="O28" t="s">
        <v>70</v>
      </c>
      <c r="P28" t="s">
        <v>70</v>
      </c>
      <c r="Q28">
        <v>1</v>
      </c>
      <c r="W28">
        <v>0</v>
      </c>
      <c r="X28">
        <v>-1756858490</v>
      </c>
      <c r="Y28">
        <v>2.5999999999999999E-2</v>
      </c>
      <c r="AA28">
        <v>6491.39</v>
      </c>
      <c r="AB28">
        <v>0</v>
      </c>
      <c r="AC28">
        <v>0</v>
      </c>
      <c r="AD28">
        <v>0</v>
      </c>
      <c r="AE28">
        <v>6491.39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2.5999999999999999E-2</v>
      </c>
      <c r="AU28" t="s">
        <v>3</v>
      </c>
      <c r="AV28">
        <v>0</v>
      </c>
      <c r="AW28">
        <v>2</v>
      </c>
      <c r="AX28">
        <v>42387687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Y28*Source!I32</f>
        <v>0.7228</v>
      </c>
      <c r="CY28">
        <f>AA28</f>
        <v>6491.39</v>
      </c>
      <c r="CZ28">
        <f>AE28</f>
        <v>6491.39</v>
      </c>
      <c r="DA28">
        <f>AI28</f>
        <v>1</v>
      </c>
      <c r="DB28">
        <f t="shared" si="0"/>
        <v>168.78</v>
      </c>
      <c r="DC28">
        <f t="shared" si="1"/>
        <v>0</v>
      </c>
    </row>
    <row r="29" spans="1:107" x14ac:dyDescent="0.2">
      <c r="A29">
        <f>ROW(Source!A33)</f>
        <v>33</v>
      </c>
      <c r="B29">
        <v>42387469</v>
      </c>
      <c r="C29">
        <v>42387688</v>
      </c>
      <c r="D29">
        <v>41699995</v>
      </c>
      <c r="E29">
        <v>19</v>
      </c>
      <c r="F29">
        <v>1</v>
      </c>
      <c r="G29">
        <v>19</v>
      </c>
      <c r="H29">
        <v>1</v>
      </c>
      <c r="I29" t="s">
        <v>135</v>
      </c>
      <c r="J29" t="s">
        <v>3</v>
      </c>
      <c r="K29" t="s">
        <v>136</v>
      </c>
      <c r="L29">
        <v>1191</v>
      </c>
      <c r="N29">
        <v>1013</v>
      </c>
      <c r="O29" t="s">
        <v>137</v>
      </c>
      <c r="P29" t="s">
        <v>137</v>
      </c>
      <c r="Q29">
        <v>1</v>
      </c>
      <c r="W29">
        <v>0</v>
      </c>
      <c r="X29">
        <v>476480486</v>
      </c>
      <c r="Y29">
        <v>0.48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0.48</v>
      </c>
      <c r="AU29" t="s">
        <v>3</v>
      </c>
      <c r="AV29">
        <v>1</v>
      </c>
      <c r="AW29">
        <v>2</v>
      </c>
      <c r="AX29">
        <v>42387692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13.343999999999999</v>
      </c>
      <c r="CY29">
        <f>AD29</f>
        <v>0</v>
      </c>
      <c r="CZ29">
        <f>AH29</f>
        <v>0</v>
      </c>
      <c r="DA29">
        <f>AL29</f>
        <v>1</v>
      </c>
      <c r="DB29">
        <f t="shared" si="0"/>
        <v>0</v>
      </c>
      <c r="DC29">
        <f t="shared" si="1"/>
        <v>0</v>
      </c>
    </row>
    <row r="30" spans="1:107" x14ac:dyDescent="0.2">
      <c r="A30">
        <f>ROW(Source!A33)</f>
        <v>33</v>
      </c>
      <c r="B30">
        <v>42387469</v>
      </c>
      <c r="C30">
        <v>42387688</v>
      </c>
      <c r="D30">
        <v>41708886</v>
      </c>
      <c r="E30">
        <v>1</v>
      </c>
      <c r="F30">
        <v>1</v>
      </c>
      <c r="G30">
        <v>19</v>
      </c>
      <c r="H30">
        <v>2</v>
      </c>
      <c r="I30" t="s">
        <v>193</v>
      </c>
      <c r="J30" t="s">
        <v>194</v>
      </c>
      <c r="K30" t="s">
        <v>195</v>
      </c>
      <c r="L30">
        <v>1368</v>
      </c>
      <c r="N30">
        <v>1011</v>
      </c>
      <c r="O30" t="s">
        <v>177</v>
      </c>
      <c r="P30" t="s">
        <v>177</v>
      </c>
      <c r="Q30">
        <v>1</v>
      </c>
      <c r="W30">
        <v>0</v>
      </c>
      <c r="X30">
        <v>-1418982918</v>
      </c>
      <c r="Y30">
        <v>0.13</v>
      </c>
      <c r="AA30">
        <v>0</v>
      </c>
      <c r="AB30">
        <v>7.36</v>
      </c>
      <c r="AC30">
        <v>0.74</v>
      </c>
      <c r="AD30">
        <v>0</v>
      </c>
      <c r="AE30">
        <v>0</v>
      </c>
      <c r="AF30">
        <v>7.36</v>
      </c>
      <c r="AG30">
        <v>0.74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0.13</v>
      </c>
      <c r="AU30" t="s">
        <v>3</v>
      </c>
      <c r="AV30">
        <v>0</v>
      </c>
      <c r="AW30">
        <v>2</v>
      </c>
      <c r="AX30">
        <v>42387693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3.6140000000000003</v>
      </c>
      <c r="CY30">
        <f>AB30</f>
        <v>7.36</v>
      </c>
      <c r="CZ30">
        <f>AF30</f>
        <v>7.36</v>
      </c>
      <c r="DA30">
        <f>AJ30</f>
        <v>1</v>
      </c>
      <c r="DB30">
        <f t="shared" si="0"/>
        <v>0.96</v>
      </c>
      <c r="DC30">
        <f t="shared" si="1"/>
        <v>0.1</v>
      </c>
    </row>
    <row r="31" spans="1:107" x14ac:dyDescent="0.2">
      <c r="A31">
        <f>ROW(Source!A33)</f>
        <v>33</v>
      </c>
      <c r="B31">
        <v>42387469</v>
      </c>
      <c r="C31">
        <v>42387688</v>
      </c>
      <c r="D31">
        <v>41712310</v>
      </c>
      <c r="E31">
        <v>1</v>
      </c>
      <c r="F31">
        <v>1</v>
      </c>
      <c r="G31">
        <v>19</v>
      </c>
      <c r="H31">
        <v>3</v>
      </c>
      <c r="I31" t="s">
        <v>196</v>
      </c>
      <c r="J31" t="s">
        <v>197</v>
      </c>
      <c r="K31" t="s">
        <v>198</v>
      </c>
      <c r="L31">
        <v>1348</v>
      </c>
      <c r="N31">
        <v>1009</v>
      </c>
      <c r="O31" t="s">
        <v>144</v>
      </c>
      <c r="P31" t="s">
        <v>144</v>
      </c>
      <c r="Q31">
        <v>1000</v>
      </c>
      <c r="W31">
        <v>0</v>
      </c>
      <c r="X31">
        <v>669103708</v>
      </c>
      <c r="Y31">
        <v>2.2000000000000001E-4</v>
      </c>
      <c r="AA31">
        <v>68906.84</v>
      </c>
      <c r="AB31">
        <v>0</v>
      </c>
      <c r="AC31">
        <v>0</v>
      </c>
      <c r="AD31">
        <v>0</v>
      </c>
      <c r="AE31">
        <v>68906.84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2.2000000000000001E-4</v>
      </c>
      <c r="AU31" t="s">
        <v>3</v>
      </c>
      <c r="AV31">
        <v>0</v>
      </c>
      <c r="AW31">
        <v>2</v>
      </c>
      <c r="AX31">
        <v>42387694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6.1160000000000008E-3</v>
      </c>
      <c r="CY31">
        <f>AA31</f>
        <v>68906.84</v>
      </c>
      <c r="CZ31">
        <f>AE31</f>
        <v>68906.84</v>
      </c>
      <c r="DA31">
        <f>AI31</f>
        <v>1</v>
      </c>
      <c r="DB31">
        <f t="shared" si="0"/>
        <v>15.16</v>
      </c>
      <c r="DC31">
        <f t="shared" si="1"/>
        <v>0</v>
      </c>
    </row>
    <row r="32" spans="1:107" x14ac:dyDescent="0.2">
      <c r="A32">
        <f>ROW(Source!A34)</f>
        <v>34</v>
      </c>
      <c r="B32">
        <v>42387469</v>
      </c>
      <c r="C32">
        <v>42387695</v>
      </c>
      <c r="D32">
        <v>41699995</v>
      </c>
      <c r="E32">
        <v>19</v>
      </c>
      <c r="F32">
        <v>1</v>
      </c>
      <c r="G32">
        <v>19</v>
      </c>
      <c r="H32">
        <v>1</v>
      </c>
      <c r="I32" t="s">
        <v>135</v>
      </c>
      <c r="J32" t="s">
        <v>3</v>
      </c>
      <c r="K32" t="s">
        <v>136</v>
      </c>
      <c r="L32">
        <v>1191</v>
      </c>
      <c r="N32">
        <v>1013</v>
      </c>
      <c r="O32" t="s">
        <v>137</v>
      </c>
      <c r="P32" t="s">
        <v>137</v>
      </c>
      <c r="Q32">
        <v>1</v>
      </c>
      <c r="W32">
        <v>0</v>
      </c>
      <c r="X32">
        <v>476480486</v>
      </c>
      <c r="Y32">
        <v>61.18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61.18</v>
      </c>
      <c r="AU32" t="s">
        <v>3</v>
      </c>
      <c r="AV32">
        <v>1</v>
      </c>
      <c r="AW32">
        <v>2</v>
      </c>
      <c r="AX32">
        <v>42387700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17.008040000000001</v>
      </c>
      <c r="CY32">
        <f>AD32</f>
        <v>0</v>
      </c>
      <c r="CZ32">
        <f>AH32</f>
        <v>0</v>
      </c>
      <c r="DA32">
        <f>AL32</f>
        <v>1</v>
      </c>
      <c r="DB32">
        <f t="shared" si="0"/>
        <v>0</v>
      </c>
      <c r="DC32">
        <f t="shared" si="1"/>
        <v>0</v>
      </c>
    </row>
    <row r="33" spans="1:107" x14ac:dyDescent="0.2">
      <c r="A33">
        <f>ROW(Source!A34)</f>
        <v>34</v>
      </c>
      <c r="B33">
        <v>42387469</v>
      </c>
      <c r="C33">
        <v>42387695</v>
      </c>
      <c r="D33">
        <v>41711178</v>
      </c>
      <c r="E33">
        <v>1</v>
      </c>
      <c r="F33">
        <v>1</v>
      </c>
      <c r="G33">
        <v>19</v>
      </c>
      <c r="H33">
        <v>3</v>
      </c>
      <c r="I33" t="s">
        <v>151</v>
      </c>
      <c r="J33" t="s">
        <v>152</v>
      </c>
      <c r="K33" t="s">
        <v>153</v>
      </c>
      <c r="L33">
        <v>1348</v>
      </c>
      <c r="N33">
        <v>1009</v>
      </c>
      <c r="O33" t="s">
        <v>144</v>
      </c>
      <c r="P33" t="s">
        <v>144</v>
      </c>
      <c r="Q33">
        <v>1000</v>
      </c>
      <c r="W33">
        <v>0</v>
      </c>
      <c r="X33">
        <v>843538113</v>
      </c>
      <c r="Y33">
        <v>3.7900000000000003E-2</v>
      </c>
      <c r="AA33">
        <v>15222.65</v>
      </c>
      <c r="AB33">
        <v>0</v>
      </c>
      <c r="AC33">
        <v>0</v>
      </c>
      <c r="AD33">
        <v>0</v>
      </c>
      <c r="AE33">
        <v>15222.65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3.7900000000000003E-2</v>
      </c>
      <c r="AU33" t="s">
        <v>3</v>
      </c>
      <c r="AV33">
        <v>0</v>
      </c>
      <c r="AW33">
        <v>2</v>
      </c>
      <c r="AX33">
        <v>42387701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1.0536200000000003E-2</v>
      </c>
      <c r="CY33">
        <f>AA33</f>
        <v>15222.65</v>
      </c>
      <c r="CZ33">
        <f>AE33</f>
        <v>15222.65</v>
      </c>
      <c r="DA33">
        <f>AI33</f>
        <v>1</v>
      </c>
      <c r="DB33">
        <f t="shared" ref="DB33:DB58" si="8">ROUND(ROUND(AT33*CZ33,2),6)</f>
        <v>576.94000000000005</v>
      </c>
      <c r="DC33">
        <f t="shared" ref="DC33:DC58" si="9">ROUND(ROUND(AT33*AG33,2),6)</f>
        <v>0</v>
      </c>
    </row>
    <row r="34" spans="1:107" x14ac:dyDescent="0.2">
      <c r="A34">
        <f>ROW(Source!A34)</f>
        <v>34</v>
      </c>
      <c r="B34">
        <v>42387469</v>
      </c>
      <c r="C34">
        <v>42387695</v>
      </c>
      <c r="D34">
        <v>41709288</v>
      </c>
      <c r="E34">
        <v>1</v>
      </c>
      <c r="F34">
        <v>1</v>
      </c>
      <c r="G34">
        <v>19</v>
      </c>
      <c r="H34">
        <v>3</v>
      </c>
      <c r="I34" t="s">
        <v>199</v>
      </c>
      <c r="J34" t="s">
        <v>200</v>
      </c>
      <c r="K34" t="s">
        <v>201</v>
      </c>
      <c r="L34">
        <v>1348</v>
      </c>
      <c r="N34">
        <v>1009</v>
      </c>
      <c r="O34" t="s">
        <v>144</v>
      </c>
      <c r="P34" t="s">
        <v>144</v>
      </c>
      <c r="Q34">
        <v>1000</v>
      </c>
      <c r="W34">
        <v>0</v>
      </c>
      <c r="X34">
        <v>363843933</v>
      </c>
      <c r="Y34">
        <v>2.4400000000000002E-2</v>
      </c>
      <c r="AA34">
        <v>75680.97</v>
      </c>
      <c r="AB34">
        <v>0</v>
      </c>
      <c r="AC34">
        <v>0</v>
      </c>
      <c r="AD34">
        <v>0</v>
      </c>
      <c r="AE34">
        <v>75680.97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2.4400000000000002E-2</v>
      </c>
      <c r="AU34" t="s">
        <v>3</v>
      </c>
      <c r="AV34">
        <v>0</v>
      </c>
      <c r="AW34">
        <v>2</v>
      </c>
      <c r="AX34">
        <v>42387702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6.7832000000000014E-3</v>
      </c>
      <c r="CY34">
        <f>AA34</f>
        <v>75680.97</v>
      </c>
      <c r="CZ34">
        <f>AE34</f>
        <v>75680.97</v>
      </c>
      <c r="DA34">
        <f>AI34</f>
        <v>1</v>
      </c>
      <c r="DB34">
        <f t="shared" si="8"/>
        <v>1846.62</v>
      </c>
      <c r="DC34">
        <f t="shared" si="9"/>
        <v>0</v>
      </c>
    </row>
    <row r="35" spans="1:107" x14ac:dyDescent="0.2">
      <c r="A35">
        <f>ROW(Source!A34)</f>
        <v>34</v>
      </c>
      <c r="B35">
        <v>42387469</v>
      </c>
      <c r="C35">
        <v>42387695</v>
      </c>
      <c r="D35">
        <v>41709328</v>
      </c>
      <c r="E35">
        <v>1</v>
      </c>
      <c r="F35">
        <v>1</v>
      </c>
      <c r="G35">
        <v>19</v>
      </c>
      <c r="H35">
        <v>3</v>
      </c>
      <c r="I35" t="s">
        <v>163</v>
      </c>
      <c r="J35" t="s">
        <v>164</v>
      </c>
      <c r="K35" t="s">
        <v>165</v>
      </c>
      <c r="L35">
        <v>1346</v>
      </c>
      <c r="N35">
        <v>1009</v>
      </c>
      <c r="O35" t="s">
        <v>166</v>
      </c>
      <c r="P35" t="s">
        <v>166</v>
      </c>
      <c r="Q35">
        <v>1</v>
      </c>
      <c r="W35">
        <v>0</v>
      </c>
      <c r="X35">
        <v>994708884</v>
      </c>
      <c r="Y35">
        <v>10.6</v>
      </c>
      <c r="AA35">
        <v>67.64</v>
      </c>
      <c r="AB35">
        <v>0</v>
      </c>
      <c r="AC35">
        <v>0</v>
      </c>
      <c r="AD35">
        <v>0</v>
      </c>
      <c r="AE35">
        <v>67.64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10.6</v>
      </c>
      <c r="AU35" t="s">
        <v>3</v>
      </c>
      <c r="AV35">
        <v>0</v>
      </c>
      <c r="AW35">
        <v>2</v>
      </c>
      <c r="AX35">
        <v>42387703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2.9468000000000001</v>
      </c>
      <c r="CY35">
        <f>AA35</f>
        <v>67.64</v>
      </c>
      <c r="CZ35">
        <f>AE35</f>
        <v>67.64</v>
      </c>
      <c r="DA35">
        <f>AI35</f>
        <v>1</v>
      </c>
      <c r="DB35">
        <f t="shared" si="8"/>
        <v>716.98</v>
      </c>
      <c r="DC35">
        <f t="shared" si="9"/>
        <v>0</v>
      </c>
    </row>
    <row r="36" spans="1:107" x14ac:dyDescent="0.2">
      <c r="A36">
        <f>ROW(Source!A35)</f>
        <v>35</v>
      </c>
      <c r="B36">
        <v>42387469</v>
      </c>
      <c r="C36">
        <v>42391152</v>
      </c>
      <c r="D36">
        <v>41699995</v>
      </c>
      <c r="E36">
        <v>19</v>
      </c>
      <c r="F36">
        <v>1</v>
      </c>
      <c r="G36">
        <v>19</v>
      </c>
      <c r="H36">
        <v>1</v>
      </c>
      <c r="I36" t="s">
        <v>135</v>
      </c>
      <c r="J36" t="s">
        <v>3</v>
      </c>
      <c r="K36" t="s">
        <v>136</v>
      </c>
      <c r="L36">
        <v>1191</v>
      </c>
      <c r="N36">
        <v>1013</v>
      </c>
      <c r="O36" t="s">
        <v>137</v>
      </c>
      <c r="P36" t="s">
        <v>137</v>
      </c>
      <c r="Q36">
        <v>1</v>
      </c>
      <c r="W36">
        <v>0</v>
      </c>
      <c r="X36">
        <v>476480486</v>
      </c>
      <c r="Y36">
        <v>24.15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24.15</v>
      </c>
      <c r="AU36" t="s">
        <v>3</v>
      </c>
      <c r="AV36">
        <v>1</v>
      </c>
      <c r="AW36">
        <v>2</v>
      </c>
      <c r="AX36">
        <v>42391153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Y36*Source!I35</f>
        <v>4.3469999999999995</v>
      </c>
      <c r="CY36">
        <f>AD36</f>
        <v>0</v>
      </c>
      <c r="CZ36">
        <f>AH36</f>
        <v>0</v>
      </c>
      <c r="DA36">
        <f>AL36</f>
        <v>1</v>
      </c>
      <c r="DB36">
        <f t="shared" si="8"/>
        <v>0</v>
      </c>
      <c r="DC36">
        <f t="shared" si="9"/>
        <v>0</v>
      </c>
    </row>
    <row r="37" spans="1:107" x14ac:dyDescent="0.2">
      <c r="A37">
        <f>ROW(Source!A35)</f>
        <v>35</v>
      </c>
      <c r="B37">
        <v>42387469</v>
      </c>
      <c r="C37">
        <v>42391152</v>
      </c>
      <c r="D37">
        <v>41709903</v>
      </c>
      <c r="E37">
        <v>1</v>
      </c>
      <c r="F37">
        <v>1</v>
      </c>
      <c r="G37">
        <v>19</v>
      </c>
      <c r="H37">
        <v>3</v>
      </c>
      <c r="I37" t="s">
        <v>187</v>
      </c>
      <c r="J37" t="s">
        <v>202</v>
      </c>
      <c r="K37" t="s">
        <v>189</v>
      </c>
      <c r="L37">
        <v>1348</v>
      </c>
      <c r="N37">
        <v>1009</v>
      </c>
      <c r="O37" t="s">
        <v>144</v>
      </c>
      <c r="P37" t="s">
        <v>144</v>
      </c>
      <c r="Q37">
        <v>1000</v>
      </c>
      <c r="W37">
        <v>0</v>
      </c>
      <c r="X37">
        <v>886618838</v>
      </c>
      <c r="Y37">
        <v>1.41E-3</v>
      </c>
      <c r="AA37">
        <v>45454.3</v>
      </c>
      <c r="AB37">
        <v>0</v>
      </c>
      <c r="AC37">
        <v>0</v>
      </c>
      <c r="AD37">
        <v>0</v>
      </c>
      <c r="AE37">
        <v>45454.3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1.41E-3</v>
      </c>
      <c r="AU37" t="s">
        <v>3</v>
      </c>
      <c r="AV37">
        <v>0</v>
      </c>
      <c r="AW37">
        <v>2</v>
      </c>
      <c r="AX37">
        <v>42391154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2.5379999999999999E-4</v>
      </c>
      <c r="CY37">
        <f>AA37</f>
        <v>45454.3</v>
      </c>
      <c r="CZ37">
        <f>AE37</f>
        <v>45454.3</v>
      </c>
      <c r="DA37">
        <f>AI37</f>
        <v>1</v>
      </c>
      <c r="DB37">
        <f t="shared" si="8"/>
        <v>64.09</v>
      </c>
      <c r="DC37">
        <f t="shared" si="9"/>
        <v>0</v>
      </c>
    </row>
    <row r="38" spans="1:107" x14ac:dyDescent="0.2">
      <c r="A38">
        <f>ROW(Source!A35)</f>
        <v>35</v>
      </c>
      <c r="B38">
        <v>42387469</v>
      </c>
      <c r="C38">
        <v>42391152</v>
      </c>
      <c r="D38">
        <v>41713455</v>
      </c>
      <c r="E38">
        <v>1</v>
      </c>
      <c r="F38">
        <v>1</v>
      </c>
      <c r="G38">
        <v>19</v>
      </c>
      <c r="H38">
        <v>3</v>
      </c>
      <c r="I38" t="s">
        <v>60</v>
      </c>
      <c r="J38" t="s">
        <v>62</v>
      </c>
      <c r="K38" t="s">
        <v>61</v>
      </c>
      <c r="L38">
        <v>1301</v>
      </c>
      <c r="N38">
        <v>1003</v>
      </c>
      <c r="O38" t="s">
        <v>57</v>
      </c>
      <c r="P38" t="s">
        <v>57</v>
      </c>
      <c r="Q38">
        <v>1</v>
      </c>
      <c r="W38">
        <v>0</v>
      </c>
      <c r="X38">
        <v>-1163454990</v>
      </c>
      <c r="Y38">
        <v>224</v>
      </c>
      <c r="AA38">
        <v>38.479999999999997</v>
      </c>
      <c r="AB38">
        <v>0</v>
      </c>
      <c r="AC38">
        <v>0</v>
      </c>
      <c r="AD38">
        <v>0</v>
      </c>
      <c r="AE38">
        <v>38.479999999999997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3</v>
      </c>
      <c r="AT38">
        <v>224</v>
      </c>
      <c r="AU38" t="s">
        <v>3</v>
      </c>
      <c r="AV38">
        <v>0</v>
      </c>
      <c r="AW38">
        <v>1</v>
      </c>
      <c r="AX38">
        <v>-1</v>
      </c>
      <c r="AY38">
        <v>0</v>
      </c>
      <c r="AZ38">
        <v>0</v>
      </c>
      <c r="BA38" t="s">
        <v>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40.32</v>
      </c>
      <c r="CY38">
        <f>AA38</f>
        <v>38.479999999999997</v>
      </c>
      <c r="CZ38">
        <f>AE38</f>
        <v>38.479999999999997</v>
      </c>
      <c r="DA38">
        <f>AI38</f>
        <v>1</v>
      </c>
      <c r="DB38">
        <f t="shared" si="8"/>
        <v>8619.52</v>
      </c>
      <c r="DC38">
        <f t="shared" si="9"/>
        <v>0</v>
      </c>
    </row>
    <row r="39" spans="1:107" x14ac:dyDescent="0.2">
      <c r="A39">
        <f>ROW(Source!A35)</f>
        <v>35</v>
      </c>
      <c r="B39">
        <v>42387469</v>
      </c>
      <c r="C39">
        <v>42391152</v>
      </c>
      <c r="D39">
        <v>41713463</v>
      </c>
      <c r="E39">
        <v>1</v>
      </c>
      <c r="F39">
        <v>1</v>
      </c>
      <c r="G39">
        <v>19</v>
      </c>
      <c r="H39">
        <v>3</v>
      </c>
      <c r="I39" t="s">
        <v>55</v>
      </c>
      <c r="J39" t="s">
        <v>58</v>
      </c>
      <c r="K39" t="s">
        <v>56</v>
      </c>
      <c r="L39">
        <v>1301</v>
      </c>
      <c r="N39">
        <v>1003</v>
      </c>
      <c r="O39" t="s">
        <v>57</v>
      </c>
      <c r="P39" t="s">
        <v>57</v>
      </c>
      <c r="Q39">
        <v>1</v>
      </c>
      <c r="W39">
        <v>0</v>
      </c>
      <c r="X39">
        <v>-17248488</v>
      </c>
      <c r="Y39">
        <v>224</v>
      </c>
      <c r="AA39">
        <v>38.049999999999997</v>
      </c>
      <c r="AB39">
        <v>0</v>
      </c>
      <c r="AC39">
        <v>0</v>
      </c>
      <c r="AD39">
        <v>0</v>
      </c>
      <c r="AE39">
        <v>38.049999999999997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224</v>
      </c>
      <c r="AU39" t="s">
        <v>3</v>
      </c>
      <c r="AV39">
        <v>0</v>
      </c>
      <c r="AW39">
        <v>2</v>
      </c>
      <c r="AX39">
        <v>42391155</v>
      </c>
      <c r="AY39">
        <v>1</v>
      </c>
      <c r="AZ39">
        <v>0</v>
      </c>
      <c r="BA39">
        <v>38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40.32</v>
      </c>
      <c r="CY39">
        <f>AA39</f>
        <v>38.049999999999997</v>
      </c>
      <c r="CZ39">
        <f>AE39</f>
        <v>38.049999999999997</v>
      </c>
      <c r="DA39">
        <f>AI39</f>
        <v>1</v>
      </c>
      <c r="DB39">
        <f t="shared" si="8"/>
        <v>8523.2000000000007</v>
      </c>
      <c r="DC39">
        <f t="shared" si="9"/>
        <v>0</v>
      </c>
    </row>
    <row r="40" spans="1:107" x14ac:dyDescent="0.2">
      <c r="A40">
        <f>ROW(Source!A35)</f>
        <v>35</v>
      </c>
      <c r="B40">
        <v>42387469</v>
      </c>
      <c r="C40">
        <v>42391152</v>
      </c>
      <c r="D40">
        <v>41713463</v>
      </c>
      <c r="E40">
        <v>1</v>
      </c>
      <c r="F40">
        <v>1</v>
      </c>
      <c r="G40">
        <v>19</v>
      </c>
      <c r="H40">
        <v>3</v>
      </c>
      <c r="I40" t="s">
        <v>55</v>
      </c>
      <c r="J40" t="s">
        <v>58</v>
      </c>
      <c r="K40" t="s">
        <v>56</v>
      </c>
      <c r="L40">
        <v>1301</v>
      </c>
      <c r="N40">
        <v>1003</v>
      </c>
      <c r="O40" t="s">
        <v>57</v>
      </c>
      <c r="P40" t="s">
        <v>57</v>
      </c>
      <c r="Q40">
        <v>1</v>
      </c>
      <c r="W40">
        <v>0</v>
      </c>
      <c r="X40">
        <v>-17248488</v>
      </c>
      <c r="Y40">
        <v>-224</v>
      </c>
      <c r="AA40">
        <v>38.049999999999997</v>
      </c>
      <c r="AB40">
        <v>0</v>
      </c>
      <c r="AC40">
        <v>0</v>
      </c>
      <c r="AD40">
        <v>0</v>
      </c>
      <c r="AE40">
        <v>38.049999999999997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3</v>
      </c>
      <c r="AT40">
        <v>-224</v>
      </c>
      <c r="AU40" t="s">
        <v>3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3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-40.32</v>
      </c>
      <c r="CY40">
        <f>AA40</f>
        <v>38.049999999999997</v>
      </c>
      <c r="CZ40">
        <f>AE40</f>
        <v>38.049999999999997</v>
      </c>
      <c r="DA40">
        <f>AI40</f>
        <v>1</v>
      </c>
      <c r="DB40">
        <f t="shared" si="8"/>
        <v>-8523.2000000000007</v>
      </c>
      <c r="DC40">
        <f t="shared" si="9"/>
        <v>0</v>
      </c>
    </row>
    <row r="41" spans="1:107" x14ac:dyDescent="0.2">
      <c r="A41">
        <f>ROW(Source!A38)</f>
        <v>38</v>
      </c>
      <c r="B41">
        <v>42387469</v>
      </c>
      <c r="C41">
        <v>42387704</v>
      </c>
      <c r="D41">
        <v>41699995</v>
      </c>
      <c r="E41">
        <v>19</v>
      </c>
      <c r="F41">
        <v>1</v>
      </c>
      <c r="G41">
        <v>19</v>
      </c>
      <c r="H41">
        <v>1</v>
      </c>
      <c r="I41" t="s">
        <v>135</v>
      </c>
      <c r="J41" t="s">
        <v>3</v>
      </c>
      <c r="K41" t="s">
        <v>136</v>
      </c>
      <c r="L41">
        <v>1191</v>
      </c>
      <c r="N41">
        <v>1013</v>
      </c>
      <c r="O41" t="s">
        <v>137</v>
      </c>
      <c r="P41" t="s">
        <v>137</v>
      </c>
      <c r="Q41">
        <v>1</v>
      </c>
      <c r="W41">
        <v>0</v>
      </c>
      <c r="X41">
        <v>476480486</v>
      </c>
      <c r="Y41">
        <v>69.12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69.12</v>
      </c>
      <c r="AU41" t="s">
        <v>3</v>
      </c>
      <c r="AV41">
        <v>1</v>
      </c>
      <c r="AW41">
        <v>2</v>
      </c>
      <c r="AX41">
        <v>42387709</v>
      </c>
      <c r="AY41">
        <v>1</v>
      </c>
      <c r="AZ41">
        <v>0</v>
      </c>
      <c r="BA41">
        <v>39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Y41*Source!I38</f>
        <v>27.648000000000003</v>
      </c>
      <c r="CY41">
        <f>AD41</f>
        <v>0</v>
      </c>
      <c r="CZ41">
        <f>AH41</f>
        <v>0</v>
      </c>
      <c r="DA41">
        <f>AL41</f>
        <v>1</v>
      </c>
      <c r="DB41">
        <f t="shared" si="8"/>
        <v>0</v>
      </c>
      <c r="DC41">
        <f t="shared" si="9"/>
        <v>0</v>
      </c>
    </row>
    <row r="42" spans="1:107" x14ac:dyDescent="0.2">
      <c r="A42">
        <f>ROW(Source!A38)</f>
        <v>38</v>
      </c>
      <c r="B42">
        <v>42387469</v>
      </c>
      <c r="C42">
        <v>42387704</v>
      </c>
      <c r="D42">
        <v>41708825</v>
      </c>
      <c r="E42">
        <v>1</v>
      </c>
      <c r="F42">
        <v>1</v>
      </c>
      <c r="G42">
        <v>19</v>
      </c>
      <c r="H42">
        <v>2</v>
      </c>
      <c r="I42" t="s">
        <v>203</v>
      </c>
      <c r="J42" t="s">
        <v>204</v>
      </c>
      <c r="K42" t="s">
        <v>205</v>
      </c>
      <c r="L42">
        <v>1368</v>
      </c>
      <c r="N42">
        <v>1011</v>
      </c>
      <c r="O42" t="s">
        <v>177</v>
      </c>
      <c r="P42" t="s">
        <v>177</v>
      </c>
      <c r="Q42">
        <v>1</v>
      </c>
      <c r="W42">
        <v>0</v>
      </c>
      <c r="X42">
        <v>-1758341415</v>
      </c>
      <c r="Y42">
        <v>4.3099999999999996</v>
      </c>
      <c r="AA42">
        <v>0</v>
      </c>
      <c r="AB42">
        <v>5.66</v>
      </c>
      <c r="AC42">
        <v>0.85</v>
      </c>
      <c r="AD42">
        <v>0</v>
      </c>
      <c r="AE42">
        <v>0</v>
      </c>
      <c r="AF42">
        <v>5.66</v>
      </c>
      <c r="AG42">
        <v>0.85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4.3099999999999996</v>
      </c>
      <c r="AU42" t="s">
        <v>3</v>
      </c>
      <c r="AV42">
        <v>0</v>
      </c>
      <c r="AW42">
        <v>2</v>
      </c>
      <c r="AX42">
        <v>42387710</v>
      </c>
      <c r="AY42">
        <v>1</v>
      </c>
      <c r="AZ42">
        <v>0</v>
      </c>
      <c r="BA42">
        <v>40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Y42*Source!I38</f>
        <v>1.724</v>
      </c>
      <c r="CY42">
        <f>AB42</f>
        <v>5.66</v>
      </c>
      <c r="CZ42">
        <f>AF42</f>
        <v>5.66</v>
      </c>
      <c r="DA42">
        <f>AJ42</f>
        <v>1</v>
      </c>
      <c r="DB42">
        <f t="shared" si="8"/>
        <v>24.39</v>
      </c>
      <c r="DC42">
        <f t="shared" si="9"/>
        <v>3.66</v>
      </c>
    </row>
    <row r="43" spans="1:107" x14ac:dyDescent="0.2">
      <c r="A43">
        <f>ROW(Source!A38)</f>
        <v>38</v>
      </c>
      <c r="B43">
        <v>42387469</v>
      </c>
      <c r="C43">
        <v>42387704</v>
      </c>
      <c r="D43">
        <v>41709903</v>
      </c>
      <c r="E43">
        <v>1</v>
      </c>
      <c r="F43">
        <v>1</v>
      </c>
      <c r="G43">
        <v>19</v>
      </c>
      <c r="H43">
        <v>3</v>
      </c>
      <c r="I43" t="s">
        <v>187</v>
      </c>
      <c r="J43" t="s">
        <v>188</v>
      </c>
      <c r="K43" t="s">
        <v>189</v>
      </c>
      <c r="L43">
        <v>1348</v>
      </c>
      <c r="N43">
        <v>1009</v>
      </c>
      <c r="O43" t="s">
        <v>144</v>
      </c>
      <c r="P43" t="s">
        <v>144</v>
      </c>
      <c r="Q43">
        <v>1000</v>
      </c>
      <c r="W43">
        <v>0</v>
      </c>
      <c r="X43">
        <v>1574046373</v>
      </c>
      <c r="Y43">
        <v>2.6200000000000001E-2</v>
      </c>
      <c r="AA43">
        <v>45454.3</v>
      </c>
      <c r="AB43">
        <v>0</v>
      </c>
      <c r="AC43">
        <v>0</v>
      </c>
      <c r="AD43">
        <v>0</v>
      </c>
      <c r="AE43">
        <v>45454.3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2.6200000000000001E-2</v>
      </c>
      <c r="AU43" t="s">
        <v>3</v>
      </c>
      <c r="AV43">
        <v>0</v>
      </c>
      <c r="AW43">
        <v>2</v>
      </c>
      <c r="AX43">
        <v>42387711</v>
      </c>
      <c r="AY43">
        <v>1</v>
      </c>
      <c r="AZ43">
        <v>0</v>
      </c>
      <c r="BA43">
        <v>41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Y43*Source!I38</f>
        <v>1.0480000000000001E-2</v>
      </c>
      <c r="CY43">
        <f>AA43</f>
        <v>45454.3</v>
      </c>
      <c r="CZ43">
        <f>AE43</f>
        <v>45454.3</v>
      </c>
      <c r="DA43">
        <f>AI43</f>
        <v>1</v>
      </c>
      <c r="DB43">
        <f t="shared" si="8"/>
        <v>1190.9000000000001</v>
      </c>
      <c r="DC43">
        <f t="shared" si="9"/>
        <v>0</v>
      </c>
    </row>
    <row r="44" spans="1:107" x14ac:dyDescent="0.2">
      <c r="A44">
        <f>ROW(Source!A38)</f>
        <v>38</v>
      </c>
      <c r="B44">
        <v>42387469</v>
      </c>
      <c r="C44">
        <v>42387704</v>
      </c>
      <c r="D44">
        <v>41713433</v>
      </c>
      <c r="E44">
        <v>1</v>
      </c>
      <c r="F44">
        <v>1</v>
      </c>
      <c r="G44">
        <v>19</v>
      </c>
      <c r="H44">
        <v>3</v>
      </c>
      <c r="I44" t="s">
        <v>68</v>
      </c>
      <c r="J44" t="s">
        <v>206</v>
      </c>
      <c r="K44" t="s">
        <v>69</v>
      </c>
      <c r="L44">
        <v>1339</v>
      </c>
      <c r="N44">
        <v>1007</v>
      </c>
      <c r="O44" t="s">
        <v>70</v>
      </c>
      <c r="P44" t="s">
        <v>70</v>
      </c>
      <c r="Q44">
        <v>1</v>
      </c>
      <c r="W44">
        <v>0</v>
      </c>
      <c r="X44">
        <v>1868206787</v>
      </c>
      <c r="Y44">
        <v>3.71</v>
      </c>
      <c r="AA44">
        <v>14332.86</v>
      </c>
      <c r="AB44">
        <v>0</v>
      </c>
      <c r="AC44">
        <v>0</v>
      </c>
      <c r="AD44">
        <v>0</v>
      </c>
      <c r="AE44">
        <v>14332.86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42387712</v>
      </c>
      <c r="AY44">
        <v>1</v>
      </c>
      <c r="AZ44">
        <v>0</v>
      </c>
      <c r="BA44">
        <v>42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Y44*Source!I38</f>
        <v>1.484</v>
      </c>
      <c r="CY44">
        <f>AA44</f>
        <v>14332.86</v>
      </c>
      <c r="CZ44">
        <f>AE44</f>
        <v>14332.86</v>
      </c>
      <c r="DA44">
        <f>AI44</f>
        <v>1</v>
      </c>
      <c r="DB44">
        <f t="shared" si="8"/>
        <v>53174.91</v>
      </c>
      <c r="DC44">
        <f t="shared" si="9"/>
        <v>0</v>
      </c>
    </row>
    <row r="45" spans="1:107" x14ac:dyDescent="0.2">
      <c r="A45">
        <f>ROW(Source!A38)</f>
        <v>38</v>
      </c>
      <c r="B45">
        <v>42387469</v>
      </c>
      <c r="C45">
        <v>42387704</v>
      </c>
      <c r="D45">
        <v>41713433</v>
      </c>
      <c r="E45">
        <v>1</v>
      </c>
      <c r="F45">
        <v>1</v>
      </c>
      <c r="G45">
        <v>19</v>
      </c>
      <c r="H45">
        <v>3</v>
      </c>
      <c r="I45" t="s">
        <v>68</v>
      </c>
      <c r="J45" t="s">
        <v>71</v>
      </c>
      <c r="K45" t="s">
        <v>69</v>
      </c>
      <c r="L45">
        <v>1339</v>
      </c>
      <c r="N45">
        <v>1007</v>
      </c>
      <c r="O45" t="s">
        <v>70</v>
      </c>
      <c r="P45" t="s">
        <v>70</v>
      </c>
      <c r="Q45">
        <v>1</v>
      </c>
      <c r="W45">
        <v>0</v>
      </c>
      <c r="X45">
        <v>-1745976659</v>
      </c>
      <c r="Y45">
        <v>-3.71</v>
      </c>
      <c r="AA45">
        <v>14332.86</v>
      </c>
      <c r="AB45">
        <v>0</v>
      </c>
      <c r="AC45">
        <v>0</v>
      </c>
      <c r="AD45">
        <v>0</v>
      </c>
      <c r="AE45">
        <v>14332.86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3</v>
      </c>
      <c r="AT45">
        <v>-3.71</v>
      </c>
      <c r="AU45" t="s">
        <v>3</v>
      </c>
      <c r="AV45">
        <v>0</v>
      </c>
      <c r="AW45">
        <v>1</v>
      </c>
      <c r="AX45">
        <v>-1</v>
      </c>
      <c r="AY45">
        <v>0</v>
      </c>
      <c r="AZ45">
        <v>0</v>
      </c>
      <c r="BA45" t="s">
        <v>3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Y45*Source!I38</f>
        <v>-1.484</v>
      </c>
      <c r="CY45">
        <f>AA45</f>
        <v>14332.86</v>
      </c>
      <c r="CZ45">
        <f>AE45</f>
        <v>14332.86</v>
      </c>
      <c r="DA45">
        <f>AI45</f>
        <v>1</v>
      </c>
      <c r="DB45">
        <f t="shared" si="8"/>
        <v>-53174.91</v>
      </c>
      <c r="DC45">
        <f t="shared" si="9"/>
        <v>0</v>
      </c>
    </row>
    <row r="46" spans="1:107" x14ac:dyDescent="0.2">
      <c r="A46">
        <f>ROW(Source!A40)</f>
        <v>40</v>
      </c>
      <c r="B46">
        <v>42387469</v>
      </c>
      <c r="C46">
        <v>42387713</v>
      </c>
      <c r="D46">
        <v>41699995</v>
      </c>
      <c r="E46">
        <v>19</v>
      </c>
      <c r="F46">
        <v>1</v>
      </c>
      <c r="G46">
        <v>19</v>
      </c>
      <c r="H46">
        <v>1</v>
      </c>
      <c r="I46" t="s">
        <v>135</v>
      </c>
      <c r="J46" t="s">
        <v>3</v>
      </c>
      <c r="K46" t="s">
        <v>136</v>
      </c>
      <c r="L46">
        <v>1191</v>
      </c>
      <c r="N46">
        <v>1013</v>
      </c>
      <c r="O46" t="s">
        <v>137</v>
      </c>
      <c r="P46" t="s">
        <v>137</v>
      </c>
      <c r="Q46">
        <v>1</v>
      </c>
      <c r="W46">
        <v>0</v>
      </c>
      <c r="X46">
        <v>476480486</v>
      </c>
      <c r="Y46">
        <v>95.49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95.49</v>
      </c>
      <c r="AU46" t="s">
        <v>3</v>
      </c>
      <c r="AV46">
        <v>1</v>
      </c>
      <c r="AW46">
        <v>2</v>
      </c>
      <c r="AX46">
        <v>42387727</v>
      </c>
      <c r="AY46">
        <v>1</v>
      </c>
      <c r="AZ46">
        <v>0</v>
      </c>
      <c r="BA46">
        <v>43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Y46*Source!I40</f>
        <v>150.8742</v>
      </c>
      <c r="CY46">
        <f>AD46</f>
        <v>0</v>
      </c>
      <c r="CZ46">
        <f>AH46</f>
        <v>0</v>
      </c>
      <c r="DA46">
        <f>AL46</f>
        <v>1</v>
      </c>
      <c r="DB46">
        <f t="shared" si="8"/>
        <v>0</v>
      </c>
      <c r="DC46">
        <f t="shared" si="9"/>
        <v>0</v>
      </c>
    </row>
    <row r="47" spans="1:107" x14ac:dyDescent="0.2">
      <c r="A47">
        <f>ROW(Source!A40)</f>
        <v>40</v>
      </c>
      <c r="B47">
        <v>42387469</v>
      </c>
      <c r="C47">
        <v>42387713</v>
      </c>
      <c r="D47">
        <v>41708534</v>
      </c>
      <c r="E47">
        <v>1</v>
      </c>
      <c r="F47">
        <v>1</v>
      </c>
      <c r="G47">
        <v>19</v>
      </c>
      <c r="H47">
        <v>2</v>
      </c>
      <c r="I47" t="s">
        <v>207</v>
      </c>
      <c r="J47" t="s">
        <v>208</v>
      </c>
      <c r="K47" t="s">
        <v>209</v>
      </c>
      <c r="L47">
        <v>1368</v>
      </c>
      <c r="N47">
        <v>1011</v>
      </c>
      <c r="O47" t="s">
        <v>177</v>
      </c>
      <c r="P47" t="s">
        <v>177</v>
      </c>
      <c r="Q47">
        <v>1</v>
      </c>
      <c r="W47">
        <v>0</v>
      </c>
      <c r="X47">
        <v>378718196</v>
      </c>
      <c r="Y47">
        <v>6.64</v>
      </c>
      <c r="AA47">
        <v>0</v>
      </c>
      <c r="AB47">
        <v>47.34</v>
      </c>
      <c r="AC47">
        <v>20.22</v>
      </c>
      <c r="AD47">
        <v>0</v>
      </c>
      <c r="AE47">
        <v>0</v>
      </c>
      <c r="AF47">
        <v>47.34</v>
      </c>
      <c r="AG47">
        <v>20.22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6.64</v>
      </c>
      <c r="AU47" t="s">
        <v>3</v>
      </c>
      <c r="AV47">
        <v>0</v>
      </c>
      <c r="AW47">
        <v>2</v>
      </c>
      <c r="AX47">
        <v>42387728</v>
      </c>
      <c r="AY47">
        <v>1</v>
      </c>
      <c r="AZ47">
        <v>0</v>
      </c>
      <c r="BA47">
        <v>44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Y47*Source!I40</f>
        <v>10.491199999999999</v>
      </c>
      <c r="CY47">
        <f>AB47</f>
        <v>47.34</v>
      </c>
      <c r="CZ47">
        <f>AF47</f>
        <v>47.34</v>
      </c>
      <c r="DA47">
        <f>AJ47</f>
        <v>1</v>
      </c>
      <c r="DB47">
        <f t="shared" si="8"/>
        <v>314.33999999999997</v>
      </c>
      <c r="DC47">
        <f t="shared" si="9"/>
        <v>134.26</v>
      </c>
    </row>
    <row r="48" spans="1:107" x14ac:dyDescent="0.2">
      <c r="A48">
        <f>ROW(Source!A40)</f>
        <v>40</v>
      </c>
      <c r="B48">
        <v>42387469</v>
      </c>
      <c r="C48">
        <v>42387713</v>
      </c>
      <c r="D48">
        <v>41708886</v>
      </c>
      <c r="E48">
        <v>1</v>
      </c>
      <c r="F48">
        <v>1</v>
      </c>
      <c r="G48">
        <v>19</v>
      </c>
      <c r="H48">
        <v>2</v>
      </c>
      <c r="I48" t="s">
        <v>193</v>
      </c>
      <c r="J48" t="s">
        <v>210</v>
      </c>
      <c r="K48" t="s">
        <v>195</v>
      </c>
      <c r="L48">
        <v>1368</v>
      </c>
      <c r="N48">
        <v>1011</v>
      </c>
      <c r="O48" t="s">
        <v>177</v>
      </c>
      <c r="P48" t="s">
        <v>177</v>
      </c>
      <c r="Q48">
        <v>1</v>
      </c>
      <c r="W48">
        <v>0</v>
      </c>
      <c r="X48">
        <v>1451079912</v>
      </c>
      <c r="Y48">
        <v>11.78</v>
      </c>
      <c r="AA48">
        <v>0</v>
      </c>
      <c r="AB48">
        <v>7.36</v>
      </c>
      <c r="AC48">
        <v>0.74</v>
      </c>
      <c r="AD48">
        <v>0</v>
      </c>
      <c r="AE48">
        <v>0</v>
      </c>
      <c r="AF48">
        <v>7.36</v>
      </c>
      <c r="AG48">
        <v>0.74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11.78</v>
      </c>
      <c r="AU48" t="s">
        <v>3</v>
      </c>
      <c r="AV48">
        <v>0</v>
      </c>
      <c r="AW48">
        <v>2</v>
      </c>
      <c r="AX48">
        <v>42387729</v>
      </c>
      <c r="AY48">
        <v>1</v>
      </c>
      <c r="AZ48">
        <v>0</v>
      </c>
      <c r="BA48">
        <v>45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Y48*Source!I40</f>
        <v>18.612400000000001</v>
      </c>
      <c r="CY48">
        <f>AB48</f>
        <v>7.36</v>
      </c>
      <c r="CZ48">
        <f>AF48</f>
        <v>7.36</v>
      </c>
      <c r="DA48">
        <f>AJ48</f>
        <v>1</v>
      </c>
      <c r="DB48">
        <f t="shared" si="8"/>
        <v>86.7</v>
      </c>
      <c r="DC48">
        <f t="shared" si="9"/>
        <v>8.7200000000000006</v>
      </c>
    </row>
    <row r="49" spans="1:107" x14ac:dyDescent="0.2">
      <c r="A49">
        <f>ROW(Source!A40)</f>
        <v>40</v>
      </c>
      <c r="B49">
        <v>42387469</v>
      </c>
      <c r="C49">
        <v>42387713</v>
      </c>
      <c r="D49">
        <v>41708819</v>
      </c>
      <c r="E49">
        <v>1</v>
      </c>
      <c r="F49">
        <v>1</v>
      </c>
      <c r="G49">
        <v>19</v>
      </c>
      <c r="H49">
        <v>2</v>
      </c>
      <c r="I49" t="s">
        <v>211</v>
      </c>
      <c r="J49" t="s">
        <v>212</v>
      </c>
      <c r="K49" t="s">
        <v>213</v>
      </c>
      <c r="L49">
        <v>1368</v>
      </c>
      <c r="N49">
        <v>1011</v>
      </c>
      <c r="O49" t="s">
        <v>177</v>
      </c>
      <c r="P49" t="s">
        <v>177</v>
      </c>
      <c r="Q49">
        <v>1</v>
      </c>
      <c r="W49">
        <v>0</v>
      </c>
      <c r="X49">
        <v>1181416412</v>
      </c>
      <c r="Y49">
        <v>2.78</v>
      </c>
      <c r="AA49">
        <v>0</v>
      </c>
      <c r="AB49">
        <v>10.64</v>
      </c>
      <c r="AC49">
        <v>0.85</v>
      </c>
      <c r="AD49">
        <v>0</v>
      </c>
      <c r="AE49">
        <v>0</v>
      </c>
      <c r="AF49">
        <v>10.64</v>
      </c>
      <c r="AG49">
        <v>0.85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2.78</v>
      </c>
      <c r="AU49" t="s">
        <v>3</v>
      </c>
      <c r="AV49">
        <v>0</v>
      </c>
      <c r="AW49">
        <v>2</v>
      </c>
      <c r="AX49">
        <v>42387730</v>
      </c>
      <c r="AY49">
        <v>1</v>
      </c>
      <c r="AZ49">
        <v>0</v>
      </c>
      <c r="BA49">
        <v>46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Y49*Source!I40</f>
        <v>4.3924000000000003</v>
      </c>
      <c r="CY49">
        <f>AB49</f>
        <v>10.64</v>
      </c>
      <c r="CZ49">
        <f>AF49</f>
        <v>10.64</v>
      </c>
      <c r="DA49">
        <f>AJ49</f>
        <v>1</v>
      </c>
      <c r="DB49">
        <f t="shared" si="8"/>
        <v>29.58</v>
      </c>
      <c r="DC49">
        <f t="shared" si="9"/>
        <v>2.36</v>
      </c>
    </row>
    <row r="50" spans="1:107" x14ac:dyDescent="0.2">
      <c r="A50">
        <f>ROW(Source!A40)</f>
        <v>40</v>
      </c>
      <c r="B50">
        <v>42387469</v>
      </c>
      <c r="C50">
        <v>42387713</v>
      </c>
      <c r="D50">
        <v>41708822</v>
      </c>
      <c r="E50">
        <v>1</v>
      </c>
      <c r="F50">
        <v>1</v>
      </c>
      <c r="G50">
        <v>19</v>
      </c>
      <c r="H50">
        <v>2</v>
      </c>
      <c r="I50" t="s">
        <v>174</v>
      </c>
      <c r="J50" t="s">
        <v>214</v>
      </c>
      <c r="K50" t="s">
        <v>176</v>
      </c>
      <c r="L50">
        <v>1368</v>
      </c>
      <c r="N50">
        <v>1011</v>
      </c>
      <c r="O50" t="s">
        <v>177</v>
      </c>
      <c r="P50" t="s">
        <v>177</v>
      </c>
      <c r="Q50">
        <v>1</v>
      </c>
      <c r="W50">
        <v>0</v>
      </c>
      <c r="X50">
        <v>-1594145147</v>
      </c>
      <c r="Y50">
        <v>4.91</v>
      </c>
      <c r="AA50">
        <v>0</v>
      </c>
      <c r="AB50">
        <v>3.83</v>
      </c>
      <c r="AC50">
        <v>0.87</v>
      </c>
      <c r="AD50">
        <v>0</v>
      </c>
      <c r="AE50">
        <v>0</v>
      </c>
      <c r="AF50">
        <v>3.83</v>
      </c>
      <c r="AG50">
        <v>0.87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4.91</v>
      </c>
      <c r="AU50" t="s">
        <v>3</v>
      </c>
      <c r="AV50">
        <v>0</v>
      </c>
      <c r="AW50">
        <v>2</v>
      </c>
      <c r="AX50">
        <v>42387731</v>
      </c>
      <c r="AY50">
        <v>1</v>
      </c>
      <c r="AZ50">
        <v>0</v>
      </c>
      <c r="BA50">
        <v>47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Y50*Source!I40</f>
        <v>7.7578000000000005</v>
      </c>
      <c r="CY50">
        <f>AB50</f>
        <v>3.83</v>
      </c>
      <c r="CZ50">
        <f>AF50</f>
        <v>3.83</v>
      </c>
      <c r="DA50">
        <f>AJ50</f>
        <v>1</v>
      </c>
      <c r="DB50">
        <f t="shared" si="8"/>
        <v>18.809999999999999</v>
      </c>
      <c r="DC50">
        <f t="shared" si="9"/>
        <v>4.2699999999999996</v>
      </c>
    </row>
    <row r="51" spans="1:107" x14ac:dyDescent="0.2">
      <c r="A51">
        <f>ROW(Source!A40)</f>
        <v>40</v>
      </c>
      <c r="B51">
        <v>42387469</v>
      </c>
      <c r="C51">
        <v>42387713</v>
      </c>
      <c r="D51">
        <v>41708172</v>
      </c>
      <c r="E51">
        <v>1</v>
      </c>
      <c r="F51">
        <v>1</v>
      </c>
      <c r="G51">
        <v>19</v>
      </c>
      <c r="H51">
        <v>2</v>
      </c>
      <c r="I51" t="s">
        <v>215</v>
      </c>
      <c r="J51" t="s">
        <v>216</v>
      </c>
      <c r="K51" t="s">
        <v>217</v>
      </c>
      <c r="L51">
        <v>1368</v>
      </c>
      <c r="N51">
        <v>1011</v>
      </c>
      <c r="O51" t="s">
        <v>177</v>
      </c>
      <c r="P51" t="s">
        <v>177</v>
      </c>
      <c r="Q51">
        <v>1</v>
      </c>
      <c r="W51">
        <v>0</v>
      </c>
      <c r="X51">
        <v>1429243108</v>
      </c>
      <c r="Y51">
        <v>0.04</v>
      </c>
      <c r="AA51">
        <v>0</v>
      </c>
      <c r="AB51">
        <v>496.99</v>
      </c>
      <c r="AC51">
        <v>387.36</v>
      </c>
      <c r="AD51">
        <v>0</v>
      </c>
      <c r="AE51">
        <v>0</v>
      </c>
      <c r="AF51">
        <v>496.99</v>
      </c>
      <c r="AG51">
        <v>387.36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0.04</v>
      </c>
      <c r="AU51" t="s">
        <v>3</v>
      </c>
      <c r="AV51">
        <v>0</v>
      </c>
      <c r="AW51">
        <v>2</v>
      </c>
      <c r="AX51">
        <v>42387732</v>
      </c>
      <c r="AY51">
        <v>1</v>
      </c>
      <c r="AZ51">
        <v>0</v>
      </c>
      <c r="BA51">
        <v>48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Y51*Source!I40</f>
        <v>6.3200000000000006E-2</v>
      </c>
      <c r="CY51">
        <f>AB51</f>
        <v>496.99</v>
      </c>
      <c r="CZ51">
        <f>AF51</f>
        <v>496.99</v>
      </c>
      <c r="DA51">
        <f>AJ51</f>
        <v>1</v>
      </c>
      <c r="DB51">
        <f t="shared" si="8"/>
        <v>19.88</v>
      </c>
      <c r="DC51">
        <f t="shared" si="9"/>
        <v>15.49</v>
      </c>
    </row>
    <row r="52" spans="1:107" x14ac:dyDescent="0.2">
      <c r="A52">
        <f>ROW(Source!A40)</f>
        <v>40</v>
      </c>
      <c r="B52">
        <v>42387469</v>
      </c>
      <c r="C52">
        <v>42387713</v>
      </c>
      <c r="D52">
        <v>41709927</v>
      </c>
      <c r="E52">
        <v>1</v>
      </c>
      <c r="F52">
        <v>1</v>
      </c>
      <c r="G52">
        <v>19</v>
      </c>
      <c r="H52">
        <v>3</v>
      </c>
      <c r="I52" t="s">
        <v>218</v>
      </c>
      <c r="J52" t="s">
        <v>219</v>
      </c>
      <c r="K52" t="s">
        <v>220</v>
      </c>
      <c r="L52">
        <v>1355</v>
      </c>
      <c r="N52">
        <v>1010</v>
      </c>
      <c r="O52" t="s">
        <v>221</v>
      </c>
      <c r="P52" t="s">
        <v>221</v>
      </c>
      <c r="Q52">
        <v>100</v>
      </c>
      <c r="W52">
        <v>0</v>
      </c>
      <c r="X52">
        <v>2136959722</v>
      </c>
      <c r="Y52">
        <v>15.2</v>
      </c>
      <c r="AA52">
        <v>219.31</v>
      </c>
      <c r="AB52">
        <v>0</v>
      </c>
      <c r="AC52">
        <v>0</v>
      </c>
      <c r="AD52">
        <v>0</v>
      </c>
      <c r="AE52">
        <v>219.31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15.2</v>
      </c>
      <c r="AU52" t="s">
        <v>3</v>
      </c>
      <c r="AV52">
        <v>0</v>
      </c>
      <c r="AW52">
        <v>2</v>
      </c>
      <c r="AX52">
        <v>42387733</v>
      </c>
      <c r="AY52">
        <v>1</v>
      </c>
      <c r="AZ52">
        <v>0</v>
      </c>
      <c r="BA52">
        <v>49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Y52*Source!I40</f>
        <v>24.015999999999998</v>
      </c>
      <c r="CY52">
        <f t="shared" ref="CY52:CY58" si="10">AA52</f>
        <v>219.31</v>
      </c>
      <c r="CZ52">
        <f t="shared" ref="CZ52:CZ58" si="11">AE52</f>
        <v>219.31</v>
      </c>
      <c r="DA52">
        <f t="shared" ref="DA52:DA58" si="12">AI52</f>
        <v>1</v>
      </c>
      <c r="DB52">
        <f t="shared" si="8"/>
        <v>3333.51</v>
      </c>
      <c r="DC52">
        <f t="shared" si="9"/>
        <v>0</v>
      </c>
    </row>
    <row r="53" spans="1:107" x14ac:dyDescent="0.2">
      <c r="A53">
        <f>ROW(Source!A40)</f>
        <v>40</v>
      </c>
      <c r="B53">
        <v>42387469</v>
      </c>
      <c r="C53">
        <v>42387713</v>
      </c>
      <c r="D53">
        <v>41710602</v>
      </c>
      <c r="E53">
        <v>1</v>
      </c>
      <c r="F53">
        <v>1</v>
      </c>
      <c r="G53">
        <v>19</v>
      </c>
      <c r="H53">
        <v>3</v>
      </c>
      <c r="I53" t="s">
        <v>222</v>
      </c>
      <c r="J53" t="s">
        <v>223</v>
      </c>
      <c r="K53" t="s">
        <v>224</v>
      </c>
      <c r="L53">
        <v>1346</v>
      </c>
      <c r="N53">
        <v>1009</v>
      </c>
      <c r="O53" t="s">
        <v>166</v>
      </c>
      <c r="P53" t="s">
        <v>166</v>
      </c>
      <c r="Q53">
        <v>1</v>
      </c>
      <c r="W53">
        <v>0</v>
      </c>
      <c r="X53">
        <v>-617336983</v>
      </c>
      <c r="Y53">
        <v>4.9000000000000004</v>
      </c>
      <c r="AA53">
        <v>156.94999999999999</v>
      </c>
      <c r="AB53">
        <v>0</v>
      </c>
      <c r="AC53">
        <v>0</v>
      </c>
      <c r="AD53">
        <v>0</v>
      </c>
      <c r="AE53">
        <v>156.94999999999999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4.9000000000000004</v>
      </c>
      <c r="AU53" t="s">
        <v>3</v>
      </c>
      <c r="AV53">
        <v>0</v>
      </c>
      <c r="AW53">
        <v>2</v>
      </c>
      <c r="AX53">
        <v>42387734</v>
      </c>
      <c r="AY53">
        <v>1</v>
      </c>
      <c r="AZ53">
        <v>0</v>
      </c>
      <c r="BA53">
        <v>50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Y53*Source!I40</f>
        <v>7.7420000000000009</v>
      </c>
      <c r="CY53">
        <f t="shared" si="10"/>
        <v>156.94999999999999</v>
      </c>
      <c r="CZ53">
        <f t="shared" si="11"/>
        <v>156.94999999999999</v>
      </c>
      <c r="DA53">
        <f t="shared" si="12"/>
        <v>1</v>
      </c>
      <c r="DB53">
        <f t="shared" si="8"/>
        <v>769.06</v>
      </c>
      <c r="DC53">
        <f t="shared" si="9"/>
        <v>0</v>
      </c>
    </row>
    <row r="54" spans="1:107" x14ac:dyDescent="0.2">
      <c r="A54">
        <f>ROW(Source!A40)</f>
        <v>40</v>
      </c>
      <c r="B54">
        <v>42387469</v>
      </c>
      <c r="C54">
        <v>42387713</v>
      </c>
      <c r="D54">
        <v>41711159</v>
      </c>
      <c r="E54">
        <v>1</v>
      </c>
      <c r="F54">
        <v>1</v>
      </c>
      <c r="G54">
        <v>19</v>
      </c>
      <c r="H54">
        <v>3</v>
      </c>
      <c r="I54" t="s">
        <v>148</v>
      </c>
      <c r="J54" t="s">
        <v>170</v>
      </c>
      <c r="K54" t="s">
        <v>150</v>
      </c>
      <c r="L54">
        <v>1327</v>
      </c>
      <c r="N54">
        <v>1005</v>
      </c>
      <c r="O54" t="s">
        <v>39</v>
      </c>
      <c r="P54" t="s">
        <v>39</v>
      </c>
      <c r="Q54">
        <v>1</v>
      </c>
      <c r="W54">
        <v>0</v>
      </c>
      <c r="X54">
        <v>-1839731408</v>
      </c>
      <c r="Y54">
        <v>0.2</v>
      </c>
      <c r="AA54">
        <v>165.36</v>
      </c>
      <c r="AB54">
        <v>0</v>
      </c>
      <c r="AC54">
        <v>0</v>
      </c>
      <c r="AD54">
        <v>0</v>
      </c>
      <c r="AE54">
        <v>165.36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</v>
      </c>
      <c r="AU54" t="s">
        <v>3</v>
      </c>
      <c r="AV54">
        <v>0</v>
      </c>
      <c r="AW54">
        <v>2</v>
      </c>
      <c r="AX54">
        <v>42387735</v>
      </c>
      <c r="AY54">
        <v>1</v>
      </c>
      <c r="AZ54">
        <v>0</v>
      </c>
      <c r="BA54">
        <v>51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Y54*Source!I40</f>
        <v>0.31600000000000006</v>
      </c>
      <c r="CY54">
        <f t="shared" si="10"/>
        <v>165.36</v>
      </c>
      <c r="CZ54">
        <f t="shared" si="11"/>
        <v>165.36</v>
      </c>
      <c r="DA54">
        <f t="shared" si="12"/>
        <v>1</v>
      </c>
      <c r="DB54">
        <f t="shared" si="8"/>
        <v>33.07</v>
      </c>
      <c r="DC54">
        <f t="shared" si="9"/>
        <v>0</v>
      </c>
    </row>
    <row r="55" spans="1:107" x14ac:dyDescent="0.2">
      <c r="A55">
        <f>ROW(Source!A40)</f>
        <v>40</v>
      </c>
      <c r="B55">
        <v>42387469</v>
      </c>
      <c r="C55">
        <v>42387713</v>
      </c>
      <c r="D55">
        <v>41710871</v>
      </c>
      <c r="E55">
        <v>1</v>
      </c>
      <c r="F55">
        <v>1</v>
      </c>
      <c r="G55">
        <v>19</v>
      </c>
      <c r="H55">
        <v>3</v>
      </c>
      <c r="I55" t="s">
        <v>225</v>
      </c>
      <c r="J55" t="s">
        <v>226</v>
      </c>
      <c r="K55" t="s">
        <v>227</v>
      </c>
      <c r="L55">
        <v>1346</v>
      </c>
      <c r="N55">
        <v>1009</v>
      </c>
      <c r="O55" t="s">
        <v>166</v>
      </c>
      <c r="P55" t="s">
        <v>166</v>
      </c>
      <c r="Q55">
        <v>1</v>
      </c>
      <c r="W55">
        <v>0</v>
      </c>
      <c r="X55">
        <v>1705247798</v>
      </c>
      <c r="Y55">
        <v>0.51500000000000001</v>
      </c>
      <c r="AA55">
        <v>173.93</v>
      </c>
      <c r="AB55">
        <v>0</v>
      </c>
      <c r="AC55">
        <v>0</v>
      </c>
      <c r="AD55">
        <v>0</v>
      </c>
      <c r="AE55">
        <v>173.93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0.51500000000000001</v>
      </c>
      <c r="AU55" t="s">
        <v>3</v>
      </c>
      <c r="AV55">
        <v>0</v>
      </c>
      <c r="AW55">
        <v>2</v>
      </c>
      <c r="AX55">
        <v>42387736</v>
      </c>
      <c r="AY55">
        <v>1</v>
      </c>
      <c r="AZ55">
        <v>0</v>
      </c>
      <c r="BA55">
        <v>52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0.81370000000000009</v>
      </c>
      <c r="CY55">
        <f t="shared" si="10"/>
        <v>173.93</v>
      </c>
      <c r="CZ55">
        <f t="shared" si="11"/>
        <v>173.93</v>
      </c>
      <c r="DA55">
        <f t="shared" si="12"/>
        <v>1</v>
      </c>
      <c r="DB55">
        <f t="shared" si="8"/>
        <v>89.57</v>
      </c>
      <c r="DC55">
        <f t="shared" si="9"/>
        <v>0</v>
      </c>
    </row>
    <row r="56" spans="1:107" x14ac:dyDescent="0.2">
      <c r="A56">
        <f>ROW(Source!A40)</f>
        <v>40</v>
      </c>
      <c r="B56">
        <v>42387469</v>
      </c>
      <c r="C56">
        <v>42387713</v>
      </c>
      <c r="D56">
        <v>41710872</v>
      </c>
      <c r="E56">
        <v>1</v>
      </c>
      <c r="F56">
        <v>1</v>
      </c>
      <c r="G56">
        <v>19</v>
      </c>
      <c r="H56">
        <v>3</v>
      </c>
      <c r="I56" t="s">
        <v>228</v>
      </c>
      <c r="J56" t="s">
        <v>229</v>
      </c>
      <c r="K56" t="s">
        <v>230</v>
      </c>
      <c r="L56">
        <v>1348</v>
      </c>
      <c r="N56">
        <v>1009</v>
      </c>
      <c r="O56" t="s">
        <v>144</v>
      </c>
      <c r="P56" t="s">
        <v>144</v>
      </c>
      <c r="Q56">
        <v>1000</v>
      </c>
      <c r="W56">
        <v>0</v>
      </c>
      <c r="X56">
        <v>307056775</v>
      </c>
      <c r="Y56">
        <v>0.08</v>
      </c>
      <c r="AA56">
        <v>47086.66</v>
      </c>
      <c r="AB56">
        <v>0</v>
      </c>
      <c r="AC56">
        <v>0</v>
      </c>
      <c r="AD56">
        <v>0</v>
      </c>
      <c r="AE56">
        <v>47086.66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0.08</v>
      </c>
      <c r="AU56" t="s">
        <v>3</v>
      </c>
      <c r="AV56">
        <v>0</v>
      </c>
      <c r="AW56">
        <v>2</v>
      </c>
      <c r="AX56">
        <v>42387737</v>
      </c>
      <c r="AY56">
        <v>1</v>
      </c>
      <c r="AZ56">
        <v>0</v>
      </c>
      <c r="BA56">
        <v>53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0.12640000000000001</v>
      </c>
      <c r="CY56">
        <f t="shared" si="10"/>
        <v>47086.66</v>
      </c>
      <c r="CZ56">
        <f t="shared" si="11"/>
        <v>47086.66</v>
      </c>
      <c r="DA56">
        <f t="shared" si="12"/>
        <v>1</v>
      </c>
      <c r="DB56">
        <f t="shared" si="8"/>
        <v>3766.93</v>
      </c>
      <c r="DC56">
        <f t="shared" si="9"/>
        <v>0</v>
      </c>
    </row>
    <row r="57" spans="1:107" x14ac:dyDescent="0.2">
      <c r="A57">
        <f>ROW(Source!A40)</f>
        <v>40</v>
      </c>
      <c r="B57">
        <v>42387469</v>
      </c>
      <c r="C57">
        <v>42387713</v>
      </c>
      <c r="D57">
        <v>41709143</v>
      </c>
      <c r="E57">
        <v>1</v>
      </c>
      <c r="F57">
        <v>1</v>
      </c>
      <c r="G57">
        <v>19</v>
      </c>
      <c r="H57">
        <v>3</v>
      </c>
      <c r="I57" t="s">
        <v>231</v>
      </c>
      <c r="J57" t="s">
        <v>232</v>
      </c>
      <c r="K57" t="s">
        <v>233</v>
      </c>
      <c r="L57">
        <v>1348</v>
      </c>
      <c r="N57">
        <v>1009</v>
      </c>
      <c r="O57" t="s">
        <v>144</v>
      </c>
      <c r="P57" t="s">
        <v>144</v>
      </c>
      <c r="Q57">
        <v>1000</v>
      </c>
      <c r="W57">
        <v>0</v>
      </c>
      <c r="X57">
        <v>-2094789788</v>
      </c>
      <c r="Y57">
        <v>4.8999999999999998E-3</v>
      </c>
      <c r="AA57">
        <v>46828.26</v>
      </c>
      <c r="AB57">
        <v>0</v>
      </c>
      <c r="AC57">
        <v>0</v>
      </c>
      <c r="AD57">
        <v>0</v>
      </c>
      <c r="AE57">
        <v>46828.26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4.8999999999999998E-3</v>
      </c>
      <c r="AU57" t="s">
        <v>3</v>
      </c>
      <c r="AV57">
        <v>0</v>
      </c>
      <c r="AW57">
        <v>2</v>
      </c>
      <c r="AX57">
        <v>42387738</v>
      </c>
      <c r="AY57">
        <v>1</v>
      </c>
      <c r="AZ57">
        <v>0</v>
      </c>
      <c r="BA57">
        <v>54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7.7419999999999998E-3</v>
      </c>
      <c r="CY57">
        <f t="shared" si="10"/>
        <v>46828.26</v>
      </c>
      <c r="CZ57">
        <f t="shared" si="11"/>
        <v>46828.26</v>
      </c>
      <c r="DA57">
        <f t="shared" si="12"/>
        <v>1</v>
      </c>
      <c r="DB57">
        <f t="shared" si="8"/>
        <v>229.46</v>
      </c>
      <c r="DC57">
        <f t="shared" si="9"/>
        <v>0</v>
      </c>
    </row>
    <row r="58" spans="1:107" x14ac:dyDescent="0.2">
      <c r="A58">
        <f>ROW(Source!A40)</f>
        <v>40</v>
      </c>
      <c r="B58">
        <v>42387469</v>
      </c>
      <c r="C58">
        <v>42387713</v>
      </c>
      <c r="D58">
        <v>41709557</v>
      </c>
      <c r="E58">
        <v>1</v>
      </c>
      <c r="F58">
        <v>1</v>
      </c>
      <c r="G58">
        <v>19</v>
      </c>
      <c r="H58">
        <v>3</v>
      </c>
      <c r="I58" t="s">
        <v>234</v>
      </c>
      <c r="J58" t="s">
        <v>235</v>
      </c>
      <c r="K58" t="s">
        <v>236</v>
      </c>
      <c r="L58">
        <v>1339</v>
      </c>
      <c r="N58">
        <v>1007</v>
      </c>
      <c r="O58" t="s">
        <v>70</v>
      </c>
      <c r="P58" t="s">
        <v>70</v>
      </c>
      <c r="Q58">
        <v>1</v>
      </c>
      <c r="W58">
        <v>0</v>
      </c>
      <c r="X58">
        <v>1009360539</v>
      </c>
      <c r="Y58">
        <v>1.03</v>
      </c>
      <c r="AA58">
        <v>45466.82</v>
      </c>
      <c r="AB58">
        <v>0</v>
      </c>
      <c r="AC58">
        <v>0</v>
      </c>
      <c r="AD58">
        <v>0</v>
      </c>
      <c r="AE58">
        <v>45466.82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1.03</v>
      </c>
      <c r="AU58" t="s">
        <v>3</v>
      </c>
      <c r="AV58">
        <v>0</v>
      </c>
      <c r="AW58">
        <v>2</v>
      </c>
      <c r="AX58">
        <v>42387739</v>
      </c>
      <c r="AY58">
        <v>1</v>
      </c>
      <c r="AZ58">
        <v>0</v>
      </c>
      <c r="BA58">
        <v>55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1.6274000000000002</v>
      </c>
      <c r="CY58">
        <f t="shared" si="10"/>
        <v>45466.82</v>
      </c>
      <c r="CZ58">
        <f t="shared" si="11"/>
        <v>45466.82</v>
      </c>
      <c r="DA58">
        <f t="shared" si="12"/>
        <v>1</v>
      </c>
      <c r="DB58">
        <f t="shared" si="8"/>
        <v>46830.82</v>
      </c>
      <c r="DC58">
        <f t="shared" si="9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42387651</v>
      </c>
      <c r="C1">
        <v>42387642</v>
      </c>
      <c r="D1">
        <v>41699995</v>
      </c>
      <c r="E1">
        <v>19</v>
      </c>
      <c r="F1">
        <v>1</v>
      </c>
      <c r="G1">
        <v>19</v>
      </c>
      <c r="H1">
        <v>1</v>
      </c>
      <c r="I1" t="s">
        <v>135</v>
      </c>
      <c r="J1" t="s">
        <v>3</v>
      </c>
      <c r="K1" t="s">
        <v>136</v>
      </c>
      <c r="L1">
        <v>1191</v>
      </c>
      <c r="N1">
        <v>1013</v>
      </c>
      <c r="O1" t="s">
        <v>137</v>
      </c>
      <c r="P1" t="s">
        <v>137</v>
      </c>
      <c r="Q1">
        <v>1</v>
      </c>
      <c r="X1">
        <v>26.3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26.3</v>
      </c>
      <c r="AH1">
        <v>2</v>
      </c>
      <c r="AI1">
        <v>42387643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42387652</v>
      </c>
      <c r="C2">
        <v>42387642</v>
      </c>
      <c r="D2">
        <v>41710808</v>
      </c>
      <c r="E2">
        <v>1</v>
      </c>
      <c r="F2">
        <v>1</v>
      </c>
      <c r="G2">
        <v>19</v>
      </c>
      <c r="H2">
        <v>3</v>
      </c>
      <c r="I2" t="s">
        <v>138</v>
      </c>
      <c r="J2" t="s">
        <v>139</v>
      </c>
      <c r="K2" t="s">
        <v>140</v>
      </c>
      <c r="L2">
        <v>1339</v>
      </c>
      <c r="N2">
        <v>1007</v>
      </c>
      <c r="O2" t="s">
        <v>70</v>
      </c>
      <c r="P2" t="s">
        <v>70</v>
      </c>
      <c r="Q2">
        <v>1</v>
      </c>
      <c r="X2">
        <v>0.24</v>
      </c>
      <c r="Y2">
        <v>29.98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0.24</v>
      </c>
      <c r="AH2">
        <v>2</v>
      </c>
      <c r="AI2">
        <v>42387644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ROW(Source!A28)</f>
        <v>28</v>
      </c>
      <c r="B3">
        <v>42387653</v>
      </c>
      <c r="C3">
        <v>42387642</v>
      </c>
      <c r="D3">
        <v>41710962</v>
      </c>
      <c r="E3">
        <v>1</v>
      </c>
      <c r="F3">
        <v>1</v>
      </c>
      <c r="G3">
        <v>19</v>
      </c>
      <c r="H3">
        <v>3</v>
      </c>
      <c r="I3" t="s">
        <v>141</v>
      </c>
      <c r="J3" t="s">
        <v>142</v>
      </c>
      <c r="K3" t="s">
        <v>143</v>
      </c>
      <c r="L3">
        <v>1348</v>
      </c>
      <c r="N3">
        <v>1009</v>
      </c>
      <c r="O3" t="s">
        <v>144</v>
      </c>
      <c r="P3" t="s">
        <v>144</v>
      </c>
      <c r="Q3">
        <v>1000</v>
      </c>
      <c r="X3">
        <v>1.2E-2</v>
      </c>
      <c r="Y3">
        <v>2393.4699999999998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1.2E-2</v>
      </c>
      <c r="AH3">
        <v>2</v>
      </c>
      <c r="AI3">
        <v>42387645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ROW(Source!A28)</f>
        <v>28</v>
      </c>
      <c r="B4">
        <v>42387654</v>
      </c>
      <c r="C4">
        <v>42387642</v>
      </c>
      <c r="D4">
        <v>41710968</v>
      </c>
      <c r="E4">
        <v>1</v>
      </c>
      <c r="F4">
        <v>1</v>
      </c>
      <c r="G4">
        <v>19</v>
      </c>
      <c r="H4">
        <v>3</v>
      </c>
      <c r="I4" t="s">
        <v>145</v>
      </c>
      <c r="J4" t="s">
        <v>146</v>
      </c>
      <c r="K4" t="s">
        <v>147</v>
      </c>
      <c r="L4">
        <v>1348</v>
      </c>
      <c r="N4">
        <v>1009</v>
      </c>
      <c r="O4" t="s">
        <v>144</v>
      </c>
      <c r="P4" t="s">
        <v>144</v>
      </c>
      <c r="Q4">
        <v>1000</v>
      </c>
      <c r="X4">
        <v>6.4000000000000005E-4</v>
      </c>
      <c r="Y4">
        <v>35067.730000000003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6.4000000000000005E-4</v>
      </c>
      <c r="AH4">
        <v>2</v>
      </c>
      <c r="AI4">
        <v>42387646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42387655</v>
      </c>
      <c r="C5">
        <v>42387642</v>
      </c>
      <c r="D5">
        <v>41711159</v>
      </c>
      <c r="E5">
        <v>1</v>
      </c>
      <c r="F5">
        <v>1</v>
      </c>
      <c r="G5">
        <v>19</v>
      </c>
      <c r="H5">
        <v>3</v>
      </c>
      <c r="I5" t="s">
        <v>148</v>
      </c>
      <c r="J5" t="s">
        <v>149</v>
      </c>
      <c r="K5" t="s">
        <v>150</v>
      </c>
      <c r="L5">
        <v>1327</v>
      </c>
      <c r="N5">
        <v>1005</v>
      </c>
      <c r="O5" t="s">
        <v>39</v>
      </c>
      <c r="P5" t="s">
        <v>39</v>
      </c>
      <c r="Q5">
        <v>1</v>
      </c>
      <c r="X5">
        <v>0.8</v>
      </c>
      <c r="Y5">
        <v>165.36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0.8</v>
      </c>
      <c r="AH5">
        <v>2</v>
      </c>
      <c r="AI5">
        <v>42387647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42387656</v>
      </c>
      <c r="C6">
        <v>42387642</v>
      </c>
      <c r="D6">
        <v>41711178</v>
      </c>
      <c r="E6">
        <v>1</v>
      </c>
      <c r="F6">
        <v>1</v>
      </c>
      <c r="G6">
        <v>19</v>
      </c>
      <c r="H6">
        <v>3</v>
      </c>
      <c r="I6" t="s">
        <v>151</v>
      </c>
      <c r="J6" t="s">
        <v>152</v>
      </c>
      <c r="K6" t="s">
        <v>153</v>
      </c>
      <c r="L6">
        <v>1348</v>
      </c>
      <c r="N6">
        <v>1009</v>
      </c>
      <c r="O6" t="s">
        <v>144</v>
      </c>
      <c r="P6" t="s">
        <v>144</v>
      </c>
      <c r="Q6">
        <v>1000</v>
      </c>
      <c r="X6">
        <v>6.4000000000000003E-3</v>
      </c>
      <c r="Y6">
        <v>15222.65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6.4000000000000003E-3</v>
      </c>
      <c r="AH6">
        <v>2</v>
      </c>
      <c r="AI6">
        <v>42387648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42387657</v>
      </c>
      <c r="C7">
        <v>42387642</v>
      </c>
      <c r="D7">
        <v>41710870</v>
      </c>
      <c r="E7">
        <v>1</v>
      </c>
      <c r="F7">
        <v>1</v>
      </c>
      <c r="G7">
        <v>19</v>
      </c>
      <c r="H7">
        <v>3</v>
      </c>
      <c r="I7" t="s">
        <v>154</v>
      </c>
      <c r="J7" t="s">
        <v>155</v>
      </c>
      <c r="K7" t="s">
        <v>156</v>
      </c>
      <c r="L7">
        <v>1348</v>
      </c>
      <c r="N7">
        <v>1009</v>
      </c>
      <c r="O7" t="s">
        <v>144</v>
      </c>
      <c r="P7" t="s">
        <v>144</v>
      </c>
      <c r="Q7">
        <v>1000</v>
      </c>
      <c r="X7">
        <v>2.4299999999999999E-3</v>
      </c>
      <c r="Y7">
        <v>398091.73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2.4299999999999999E-3</v>
      </c>
      <c r="AH7">
        <v>2</v>
      </c>
      <c r="AI7">
        <v>42387649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42387658</v>
      </c>
      <c r="C8">
        <v>42387642</v>
      </c>
      <c r="D8">
        <v>41709279</v>
      </c>
      <c r="E8">
        <v>1</v>
      </c>
      <c r="F8">
        <v>1</v>
      </c>
      <c r="G8">
        <v>19</v>
      </c>
      <c r="H8">
        <v>3</v>
      </c>
      <c r="I8" t="s">
        <v>157</v>
      </c>
      <c r="J8" t="s">
        <v>158</v>
      </c>
      <c r="K8" t="s">
        <v>159</v>
      </c>
      <c r="L8">
        <v>1348</v>
      </c>
      <c r="N8">
        <v>1009</v>
      </c>
      <c r="O8" t="s">
        <v>144</v>
      </c>
      <c r="P8" t="s">
        <v>144</v>
      </c>
      <c r="Q8">
        <v>1000</v>
      </c>
      <c r="X8">
        <v>6.7000000000000004E-2</v>
      </c>
      <c r="Y8">
        <v>55020.23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6.7000000000000004E-2</v>
      </c>
      <c r="AH8">
        <v>2</v>
      </c>
      <c r="AI8">
        <v>42387650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ROW(Source!A29)</f>
        <v>29</v>
      </c>
      <c r="B9">
        <v>42387663</v>
      </c>
      <c r="C9">
        <v>42387659</v>
      </c>
      <c r="D9">
        <v>41699995</v>
      </c>
      <c r="E9">
        <v>19</v>
      </c>
      <c r="F9">
        <v>1</v>
      </c>
      <c r="G9">
        <v>19</v>
      </c>
      <c r="H9">
        <v>1</v>
      </c>
      <c r="I9" t="s">
        <v>135</v>
      </c>
      <c r="J9" t="s">
        <v>3</v>
      </c>
      <c r="K9" t="s">
        <v>136</v>
      </c>
      <c r="L9">
        <v>1191</v>
      </c>
      <c r="N9">
        <v>1013</v>
      </c>
      <c r="O9" t="s">
        <v>137</v>
      </c>
      <c r="P9" t="s">
        <v>137</v>
      </c>
      <c r="Q9">
        <v>1</v>
      </c>
      <c r="X9">
        <v>63.4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1</v>
      </c>
      <c r="AF9" t="s">
        <v>3</v>
      </c>
      <c r="AG9">
        <v>63.4</v>
      </c>
      <c r="AH9">
        <v>2</v>
      </c>
      <c r="AI9">
        <v>42387660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ROW(Source!A29)</f>
        <v>29</v>
      </c>
      <c r="B10">
        <v>42387664</v>
      </c>
      <c r="C10">
        <v>42387659</v>
      </c>
      <c r="D10">
        <v>41709285</v>
      </c>
      <c r="E10">
        <v>1</v>
      </c>
      <c r="F10">
        <v>1</v>
      </c>
      <c r="G10">
        <v>19</v>
      </c>
      <c r="H10">
        <v>3</v>
      </c>
      <c r="I10" t="s">
        <v>160</v>
      </c>
      <c r="J10" t="s">
        <v>161</v>
      </c>
      <c r="K10" t="s">
        <v>162</v>
      </c>
      <c r="L10">
        <v>1348</v>
      </c>
      <c r="N10">
        <v>1009</v>
      </c>
      <c r="O10" t="s">
        <v>144</v>
      </c>
      <c r="P10" t="s">
        <v>144</v>
      </c>
      <c r="Q10">
        <v>1000</v>
      </c>
      <c r="X10">
        <v>1.6E-2</v>
      </c>
      <c r="Y10">
        <v>63430.02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1.6E-2</v>
      </c>
      <c r="AH10">
        <v>2</v>
      </c>
      <c r="AI10">
        <v>42387661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ROW(Source!A29)</f>
        <v>29</v>
      </c>
      <c r="B11">
        <v>42387665</v>
      </c>
      <c r="C11">
        <v>42387659</v>
      </c>
      <c r="D11">
        <v>41709328</v>
      </c>
      <c r="E11">
        <v>1</v>
      </c>
      <c r="F11">
        <v>1</v>
      </c>
      <c r="G11">
        <v>19</v>
      </c>
      <c r="H11">
        <v>3</v>
      </c>
      <c r="I11" t="s">
        <v>163</v>
      </c>
      <c r="J11" t="s">
        <v>164</v>
      </c>
      <c r="K11" t="s">
        <v>165</v>
      </c>
      <c r="L11">
        <v>1346</v>
      </c>
      <c r="N11">
        <v>1009</v>
      </c>
      <c r="O11" t="s">
        <v>166</v>
      </c>
      <c r="P11" t="s">
        <v>166</v>
      </c>
      <c r="Q11">
        <v>1</v>
      </c>
      <c r="X11">
        <v>8.6</v>
      </c>
      <c r="Y11">
        <v>67.64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8.6</v>
      </c>
      <c r="AH11">
        <v>2</v>
      </c>
      <c r="AI11">
        <v>42387662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ROW(Source!A30)</f>
        <v>30</v>
      </c>
      <c r="B12">
        <v>42387670</v>
      </c>
      <c r="C12">
        <v>42387666</v>
      </c>
      <c r="D12">
        <v>41699995</v>
      </c>
      <c r="E12">
        <v>19</v>
      </c>
      <c r="F12">
        <v>1</v>
      </c>
      <c r="G12">
        <v>19</v>
      </c>
      <c r="H12">
        <v>1</v>
      </c>
      <c r="I12" t="s">
        <v>135</v>
      </c>
      <c r="J12" t="s">
        <v>3</v>
      </c>
      <c r="K12" t="s">
        <v>136</v>
      </c>
      <c r="L12">
        <v>1191</v>
      </c>
      <c r="N12">
        <v>1013</v>
      </c>
      <c r="O12" t="s">
        <v>137</v>
      </c>
      <c r="P12" t="s">
        <v>137</v>
      </c>
      <c r="Q12">
        <v>1</v>
      </c>
      <c r="X12">
        <v>74.099999999999994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1</v>
      </c>
      <c r="AF12" t="s">
        <v>3</v>
      </c>
      <c r="AG12">
        <v>74.099999999999994</v>
      </c>
      <c r="AH12">
        <v>2</v>
      </c>
      <c r="AI12">
        <v>42387667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42387671</v>
      </c>
      <c r="C13">
        <v>42387666</v>
      </c>
      <c r="D13">
        <v>41709285</v>
      </c>
      <c r="E13">
        <v>1</v>
      </c>
      <c r="F13">
        <v>1</v>
      </c>
      <c r="G13">
        <v>19</v>
      </c>
      <c r="H13">
        <v>3</v>
      </c>
      <c r="I13" t="s">
        <v>160</v>
      </c>
      <c r="J13" t="s">
        <v>161</v>
      </c>
      <c r="K13" t="s">
        <v>162</v>
      </c>
      <c r="L13">
        <v>1348</v>
      </c>
      <c r="N13">
        <v>1009</v>
      </c>
      <c r="O13" t="s">
        <v>144</v>
      </c>
      <c r="P13" t="s">
        <v>144</v>
      </c>
      <c r="Q13">
        <v>1000</v>
      </c>
      <c r="X13">
        <v>1.6E-2</v>
      </c>
      <c r="Y13">
        <v>63430.02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1.6E-2</v>
      </c>
      <c r="AH13">
        <v>2</v>
      </c>
      <c r="AI13">
        <v>42387668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42387672</v>
      </c>
      <c r="C14">
        <v>42387666</v>
      </c>
      <c r="D14">
        <v>41709328</v>
      </c>
      <c r="E14">
        <v>1</v>
      </c>
      <c r="F14">
        <v>1</v>
      </c>
      <c r="G14">
        <v>19</v>
      </c>
      <c r="H14">
        <v>3</v>
      </c>
      <c r="I14" t="s">
        <v>163</v>
      </c>
      <c r="J14" t="s">
        <v>164</v>
      </c>
      <c r="K14" t="s">
        <v>165</v>
      </c>
      <c r="L14">
        <v>1346</v>
      </c>
      <c r="N14">
        <v>1009</v>
      </c>
      <c r="O14" t="s">
        <v>166</v>
      </c>
      <c r="P14" t="s">
        <v>166</v>
      </c>
      <c r="Q14">
        <v>1</v>
      </c>
      <c r="X14">
        <v>8.9</v>
      </c>
      <c r="Y14">
        <v>67.64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8.9</v>
      </c>
      <c r="AH14">
        <v>2</v>
      </c>
      <c r="AI14">
        <v>42387669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ROW(Source!A31)</f>
        <v>31</v>
      </c>
      <c r="B15">
        <v>42388940</v>
      </c>
      <c r="C15">
        <v>42388939</v>
      </c>
      <c r="D15">
        <v>41699995</v>
      </c>
      <c r="E15">
        <v>19</v>
      </c>
      <c r="F15">
        <v>1</v>
      </c>
      <c r="G15">
        <v>19</v>
      </c>
      <c r="H15">
        <v>1</v>
      </c>
      <c r="I15" t="s">
        <v>135</v>
      </c>
      <c r="J15" t="s">
        <v>3</v>
      </c>
      <c r="K15" t="s">
        <v>136</v>
      </c>
      <c r="L15">
        <v>1191</v>
      </c>
      <c r="N15">
        <v>1013</v>
      </c>
      <c r="O15" t="s">
        <v>137</v>
      </c>
      <c r="P15" t="s">
        <v>137</v>
      </c>
      <c r="Q15">
        <v>1</v>
      </c>
      <c r="X15">
        <v>5.8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1</v>
      </c>
      <c r="AF15" t="s">
        <v>3</v>
      </c>
      <c r="AG15">
        <v>5.8</v>
      </c>
      <c r="AH15">
        <v>2</v>
      </c>
      <c r="AI15">
        <v>42388940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ROW(Source!A31)</f>
        <v>31</v>
      </c>
      <c r="B16">
        <v>42388941</v>
      </c>
      <c r="C16">
        <v>42388939</v>
      </c>
      <c r="D16">
        <v>41710631</v>
      </c>
      <c r="E16">
        <v>1</v>
      </c>
      <c r="F16">
        <v>1</v>
      </c>
      <c r="G16">
        <v>19</v>
      </c>
      <c r="H16">
        <v>3</v>
      </c>
      <c r="I16" t="s">
        <v>167</v>
      </c>
      <c r="J16" t="s">
        <v>168</v>
      </c>
      <c r="K16" t="s">
        <v>169</v>
      </c>
      <c r="L16">
        <v>1346</v>
      </c>
      <c r="N16">
        <v>1009</v>
      </c>
      <c r="O16" t="s">
        <v>166</v>
      </c>
      <c r="P16" t="s">
        <v>166</v>
      </c>
      <c r="Q16">
        <v>1</v>
      </c>
      <c r="X16">
        <v>2.5000000000000001E-2</v>
      </c>
      <c r="Y16">
        <v>28.66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2.5000000000000001E-2</v>
      </c>
      <c r="AH16">
        <v>2</v>
      </c>
      <c r="AI16">
        <v>42388941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ROW(Source!A31)</f>
        <v>31</v>
      </c>
      <c r="B17">
        <v>42388942</v>
      </c>
      <c r="C17">
        <v>42388939</v>
      </c>
      <c r="D17">
        <v>41711159</v>
      </c>
      <c r="E17">
        <v>1</v>
      </c>
      <c r="F17">
        <v>1</v>
      </c>
      <c r="G17">
        <v>19</v>
      </c>
      <c r="H17">
        <v>3</v>
      </c>
      <c r="I17" t="s">
        <v>148</v>
      </c>
      <c r="J17" t="s">
        <v>170</v>
      </c>
      <c r="K17" t="s">
        <v>150</v>
      </c>
      <c r="L17">
        <v>1327</v>
      </c>
      <c r="N17">
        <v>1005</v>
      </c>
      <c r="O17" t="s">
        <v>39</v>
      </c>
      <c r="P17" t="s">
        <v>39</v>
      </c>
      <c r="Q17">
        <v>1</v>
      </c>
      <c r="X17">
        <v>5.8000000000000003E-2</v>
      </c>
      <c r="Y17">
        <v>165.36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5.8000000000000003E-2</v>
      </c>
      <c r="AH17">
        <v>2</v>
      </c>
      <c r="AI17">
        <v>42388942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ROW(Source!A31)</f>
        <v>31</v>
      </c>
      <c r="B18">
        <v>42388944</v>
      </c>
      <c r="C18">
        <v>42388939</v>
      </c>
      <c r="D18">
        <v>41700690</v>
      </c>
      <c r="E18">
        <v>19</v>
      </c>
      <c r="F18">
        <v>1</v>
      </c>
      <c r="G18">
        <v>19</v>
      </c>
      <c r="H18">
        <v>3</v>
      </c>
      <c r="I18" t="s">
        <v>151</v>
      </c>
      <c r="J18" t="s">
        <v>3</v>
      </c>
      <c r="K18" t="s">
        <v>153</v>
      </c>
      <c r="L18">
        <v>1346</v>
      </c>
      <c r="N18">
        <v>1009</v>
      </c>
      <c r="O18" t="s">
        <v>166</v>
      </c>
      <c r="P18" t="s">
        <v>166</v>
      </c>
      <c r="Q18">
        <v>1</v>
      </c>
      <c r="X18">
        <v>0.39300000000000002</v>
      </c>
      <c r="Y18">
        <v>15.22265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0.39300000000000002</v>
      </c>
      <c r="AH18">
        <v>2</v>
      </c>
      <c r="AI18">
        <v>42388944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ROW(Source!A31)</f>
        <v>31</v>
      </c>
      <c r="B19">
        <v>42388946</v>
      </c>
      <c r="C19">
        <v>42388939</v>
      </c>
      <c r="D19">
        <v>41700700</v>
      </c>
      <c r="E19">
        <v>19</v>
      </c>
      <c r="F19">
        <v>1</v>
      </c>
      <c r="G19">
        <v>19</v>
      </c>
      <c r="H19">
        <v>3</v>
      </c>
      <c r="I19" t="s">
        <v>171</v>
      </c>
      <c r="J19" t="s">
        <v>3</v>
      </c>
      <c r="K19" t="s">
        <v>172</v>
      </c>
      <c r="L19">
        <v>1346</v>
      </c>
      <c r="N19">
        <v>1009</v>
      </c>
      <c r="O19" t="s">
        <v>166</v>
      </c>
      <c r="P19" t="s">
        <v>166</v>
      </c>
      <c r="Q19">
        <v>1</v>
      </c>
      <c r="X19">
        <v>3.0000000000000001E-3</v>
      </c>
      <c r="Y19">
        <v>56.658110000000001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3.0000000000000001E-3</v>
      </c>
      <c r="AH19">
        <v>2</v>
      </c>
      <c r="AI19">
        <v>42388946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42388945</v>
      </c>
      <c r="C20">
        <v>42388939</v>
      </c>
      <c r="D20">
        <v>41700688</v>
      </c>
      <c r="E20">
        <v>19</v>
      </c>
      <c r="F20">
        <v>1</v>
      </c>
      <c r="G20">
        <v>19</v>
      </c>
      <c r="H20">
        <v>3</v>
      </c>
      <c r="I20" t="s">
        <v>160</v>
      </c>
      <c r="J20" t="s">
        <v>3</v>
      </c>
      <c r="K20" t="s">
        <v>162</v>
      </c>
      <c r="L20">
        <v>1346</v>
      </c>
      <c r="N20">
        <v>1009</v>
      </c>
      <c r="O20" t="s">
        <v>166</v>
      </c>
      <c r="P20" t="s">
        <v>166</v>
      </c>
      <c r="Q20">
        <v>1</v>
      </c>
      <c r="X20">
        <v>1.845</v>
      </c>
      <c r="Y20">
        <v>63.430019999999999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1.845</v>
      </c>
      <c r="AH20">
        <v>2</v>
      </c>
      <c r="AI20">
        <v>42388945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42388943</v>
      </c>
      <c r="C21">
        <v>42388939</v>
      </c>
      <c r="D21">
        <v>41709328</v>
      </c>
      <c r="E21">
        <v>1</v>
      </c>
      <c r="F21">
        <v>1</v>
      </c>
      <c r="G21">
        <v>19</v>
      </c>
      <c r="H21">
        <v>3</v>
      </c>
      <c r="I21" t="s">
        <v>163</v>
      </c>
      <c r="J21" t="s">
        <v>173</v>
      </c>
      <c r="K21" t="s">
        <v>165</v>
      </c>
      <c r="L21">
        <v>1346</v>
      </c>
      <c r="N21">
        <v>1009</v>
      </c>
      <c r="O21" t="s">
        <v>166</v>
      </c>
      <c r="P21" t="s">
        <v>166</v>
      </c>
      <c r="Q21">
        <v>1</v>
      </c>
      <c r="X21">
        <v>0.13800000000000001</v>
      </c>
      <c r="Y21">
        <v>67.64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0.13800000000000001</v>
      </c>
      <c r="AH21">
        <v>2</v>
      </c>
      <c r="AI21">
        <v>42388943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ROW(Source!A32)</f>
        <v>32</v>
      </c>
      <c r="B22">
        <v>42387681</v>
      </c>
      <c r="C22">
        <v>42387673</v>
      </c>
      <c r="D22">
        <v>41699995</v>
      </c>
      <c r="E22">
        <v>19</v>
      </c>
      <c r="F22">
        <v>1</v>
      </c>
      <c r="G22">
        <v>19</v>
      </c>
      <c r="H22">
        <v>1</v>
      </c>
      <c r="I22" t="s">
        <v>135</v>
      </c>
      <c r="J22" t="s">
        <v>3</v>
      </c>
      <c r="K22" t="s">
        <v>136</v>
      </c>
      <c r="L22">
        <v>1191</v>
      </c>
      <c r="N22">
        <v>1013</v>
      </c>
      <c r="O22" t="s">
        <v>137</v>
      </c>
      <c r="P22" t="s">
        <v>137</v>
      </c>
      <c r="Q22">
        <v>1</v>
      </c>
      <c r="X22">
        <v>0.7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1</v>
      </c>
      <c r="AF22" t="s">
        <v>3</v>
      </c>
      <c r="AG22">
        <v>0.7</v>
      </c>
      <c r="AH22">
        <v>2</v>
      </c>
      <c r="AI22">
        <v>42387674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ROW(Source!A32)</f>
        <v>32</v>
      </c>
      <c r="B23">
        <v>42387682</v>
      </c>
      <c r="C23">
        <v>42387673</v>
      </c>
      <c r="D23">
        <v>41708822</v>
      </c>
      <c r="E23">
        <v>1</v>
      </c>
      <c r="F23">
        <v>1</v>
      </c>
      <c r="G23">
        <v>19</v>
      </c>
      <c r="H23">
        <v>2</v>
      </c>
      <c r="I23" t="s">
        <v>174</v>
      </c>
      <c r="J23" t="s">
        <v>175</v>
      </c>
      <c r="K23" t="s">
        <v>176</v>
      </c>
      <c r="L23">
        <v>1368</v>
      </c>
      <c r="N23">
        <v>1011</v>
      </c>
      <c r="O23" t="s">
        <v>177</v>
      </c>
      <c r="P23" t="s">
        <v>177</v>
      </c>
      <c r="Q23">
        <v>1</v>
      </c>
      <c r="X23">
        <v>0.12</v>
      </c>
      <c r="Y23">
        <v>0</v>
      </c>
      <c r="Z23">
        <v>3.83</v>
      </c>
      <c r="AA23">
        <v>0.87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0.12</v>
      </c>
      <c r="AH23">
        <v>2</v>
      </c>
      <c r="AI23">
        <v>42387675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ROW(Source!A32)</f>
        <v>32</v>
      </c>
      <c r="B24">
        <v>42387683</v>
      </c>
      <c r="C24">
        <v>42387673</v>
      </c>
      <c r="D24">
        <v>41708823</v>
      </c>
      <c r="E24">
        <v>1</v>
      </c>
      <c r="F24">
        <v>1</v>
      </c>
      <c r="G24">
        <v>19</v>
      </c>
      <c r="H24">
        <v>2</v>
      </c>
      <c r="I24" t="s">
        <v>178</v>
      </c>
      <c r="J24" t="s">
        <v>179</v>
      </c>
      <c r="K24" t="s">
        <v>180</v>
      </c>
      <c r="L24">
        <v>1368</v>
      </c>
      <c r="N24">
        <v>1011</v>
      </c>
      <c r="O24" t="s">
        <v>177</v>
      </c>
      <c r="P24" t="s">
        <v>177</v>
      </c>
      <c r="Q24">
        <v>1</v>
      </c>
      <c r="X24">
        <v>0.12</v>
      </c>
      <c r="Y24">
        <v>0</v>
      </c>
      <c r="Z24">
        <v>8.9</v>
      </c>
      <c r="AA24">
        <v>0.63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0.12</v>
      </c>
      <c r="AH24">
        <v>2</v>
      </c>
      <c r="AI24">
        <v>42387676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ROW(Source!A32)</f>
        <v>32</v>
      </c>
      <c r="B25">
        <v>42387684</v>
      </c>
      <c r="C25">
        <v>42387673</v>
      </c>
      <c r="D25">
        <v>41708844</v>
      </c>
      <c r="E25">
        <v>1</v>
      </c>
      <c r="F25">
        <v>1</v>
      </c>
      <c r="G25">
        <v>19</v>
      </c>
      <c r="H25">
        <v>2</v>
      </c>
      <c r="I25" t="s">
        <v>181</v>
      </c>
      <c r="J25" t="s">
        <v>182</v>
      </c>
      <c r="K25" t="s">
        <v>183</v>
      </c>
      <c r="L25">
        <v>1368</v>
      </c>
      <c r="N25">
        <v>1011</v>
      </c>
      <c r="O25" t="s">
        <v>177</v>
      </c>
      <c r="P25" t="s">
        <v>177</v>
      </c>
      <c r="Q25">
        <v>1</v>
      </c>
      <c r="X25">
        <v>0.06</v>
      </c>
      <c r="Y25">
        <v>0</v>
      </c>
      <c r="Z25">
        <v>319.62</v>
      </c>
      <c r="AA25">
        <v>250.52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0.06</v>
      </c>
      <c r="AH25">
        <v>2</v>
      </c>
      <c r="AI25">
        <v>42387677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ROW(Source!A32)</f>
        <v>32</v>
      </c>
      <c r="B26">
        <v>42387685</v>
      </c>
      <c r="C26">
        <v>42387673</v>
      </c>
      <c r="D26">
        <v>41708863</v>
      </c>
      <c r="E26">
        <v>1</v>
      </c>
      <c r="F26">
        <v>1</v>
      </c>
      <c r="G26">
        <v>19</v>
      </c>
      <c r="H26">
        <v>2</v>
      </c>
      <c r="I26" t="s">
        <v>184</v>
      </c>
      <c r="J26" t="s">
        <v>185</v>
      </c>
      <c r="K26" t="s">
        <v>186</v>
      </c>
      <c r="L26">
        <v>1368</v>
      </c>
      <c r="N26">
        <v>1011</v>
      </c>
      <c r="O26" t="s">
        <v>177</v>
      </c>
      <c r="P26" t="s">
        <v>177</v>
      </c>
      <c r="Q26">
        <v>1</v>
      </c>
      <c r="X26">
        <v>0.18</v>
      </c>
      <c r="Y26">
        <v>0</v>
      </c>
      <c r="Z26">
        <v>21.71</v>
      </c>
      <c r="AA26">
        <v>3.11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0.18</v>
      </c>
      <c r="AH26">
        <v>2</v>
      </c>
      <c r="AI26">
        <v>42387678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42387686</v>
      </c>
      <c r="C27">
        <v>42387673</v>
      </c>
      <c r="D27">
        <v>41709903</v>
      </c>
      <c r="E27">
        <v>1</v>
      </c>
      <c r="F27">
        <v>1</v>
      </c>
      <c r="G27">
        <v>19</v>
      </c>
      <c r="H27">
        <v>3</v>
      </c>
      <c r="I27" t="s">
        <v>187</v>
      </c>
      <c r="J27" t="s">
        <v>188</v>
      </c>
      <c r="K27" t="s">
        <v>189</v>
      </c>
      <c r="L27">
        <v>1348</v>
      </c>
      <c r="N27">
        <v>1009</v>
      </c>
      <c r="O27" t="s">
        <v>144</v>
      </c>
      <c r="P27" t="s">
        <v>144</v>
      </c>
      <c r="Q27">
        <v>1000</v>
      </c>
      <c r="X27">
        <v>4.0000000000000003E-5</v>
      </c>
      <c r="Y27">
        <v>45454.3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4.0000000000000003E-5</v>
      </c>
      <c r="AH27">
        <v>2</v>
      </c>
      <c r="AI27">
        <v>42387679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42387687</v>
      </c>
      <c r="C28">
        <v>42387673</v>
      </c>
      <c r="D28">
        <v>41709520</v>
      </c>
      <c r="E28">
        <v>1</v>
      </c>
      <c r="F28">
        <v>1</v>
      </c>
      <c r="G28">
        <v>19</v>
      </c>
      <c r="H28">
        <v>3</v>
      </c>
      <c r="I28" t="s">
        <v>190</v>
      </c>
      <c r="J28" t="s">
        <v>191</v>
      </c>
      <c r="K28" t="s">
        <v>192</v>
      </c>
      <c r="L28">
        <v>1339</v>
      </c>
      <c r="N28">
        <v>1007</v>
      </c>
      <c r="O28" t="s">
        <v>70</v>
      </c>
      <c r="P28" t="s">
        <v>70</v>
      </c>
      <c r="Q28">
        <v>1</v>
      </c>
      <c r="X28">
        <v>2.5999999999999999E-2</v>
      </c>
      <c r="Y28">
        <v>6491.39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2.5999999999999999E-2</v>
      </c>
      <c r="AH28">
        <v>2</v>
      </c>
      <c r="AI28">
        <v>42387680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ROW(Source!A33)</f>
        <v>33</v>
      </c>
      <c r="B29">
        <v>42387692</v>
      </c>
      <c r="C29">
        <v>42387688</v>
      </c>
      <c r="D29">
        <v>41699995</v>
      </c>
      <c r="E29">
        <v>19</v>
      </c>
      <c r="F29">
        <v>1</v>
      </c>
      <c r="G29">
        <v>19</v>
      </c>
      <c r="H29">
        <v>1</v>
      </c>
      <c r="I29" t="s">
        <v>135</v>
      </c>
      <c r="J29" t="s">
        <v>3</v>
      </c>
      <c r="K29" t="s">
        <v>136</v>
      </c>
      <c r="L29">
        <v>1191</v>
      </c>
      <c r="N29">
        <v>1013</v>
      </c>
      <c r="O29" t="s">
        <v>137</v>
      </c>
      <c r="P29" t="s">
        <v>137</v>
      </c>
      <c r="Q29">
        <v>1</v>
      </c>
      <c r="X29">
        <v>0.48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 t="s">
        <v>3</v>
      </c>
      <c r="AG29">
        <v>0.48</v>
      </c>
      <c r="AH29">
        <v>2</v>
      </c>
      <c r="AI29">
        <v>42387689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ROW(Source!A33)</f>
        <v>33</v>
      </c>
      <c r="B30">
        <v>42387693</v>
      </c>
      <c r="C30">
        <v>42387688</v>
      </c>
      <c r="D30">
        <v>41708886</v>
      </c>
      <c r="E30">
        <v>1</v>
      </c>
      <c r="F30">
        <v>1</v>
      </c>
      <c r="G30">
        <v>19</v>
      </c>
      <c r="H30">
        <v>2</v>
      </c>
      <c r="I30" t="s">
        <v>193</v>
      </c>
      <c r="J30" t="s">
        <v>194</v>
      </c>
      <c r="K30" t="s">
        <v>195</v>
      </c>
      <c r="L30">
        <v>1368</v>
      </c>
      <c r="N30">
        <v>1011</v>
      </c>
      <c r="O30" t="s">
        <v>177</v>
      </c>
      <c r="P30" t="s">
        <v>177</v>
      </c>
      <c r="Q30">
        <v>1</v>
      </c>
      <c r="X30">
        <v>0.13</v>
      </c>
      <c r="Y30">
        <v>0</v>
      </c>
      <c r="Z30">
        <v>7.36</v>
      </c>
      <c r="AA30">
        <v>0.74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0.13</v>
      </c>
      <c r="AH30">
        <v>2</v>
      </c>
      <c r="AI30">
        <v>42387690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ROW(Source!A33)</f>
        <v>33</v>
      </c>
      <c r="B31">
        <v>42387694</v>
      </c>
      <c r="C31">
        <v>42387688</v>
      </c>
      <c r="D31">
        <v>41712310</v>
      </c>
      <c r="E31">
        <v>1</v>
      </c>
      <c r="F31">
        <v>1</v>
      </c>
      <c r="G31">
        <v>19</v>
      </c>
      <c r="H31">
        <v>3</v>
      </c>
      <c r="I31" t="s">
        <v>196</v>
      </c>
      <c r="J31" t="s">
        <v>197</v>
      </c>
      <c r="K31" t="s">
        <v>198</v>
      </c>
      <c r="L31">
        <v>1348</v>
      </c>
      <c r="N31">
        <v>1009</v>
      </c>
      <c r="O31" t="s">
        <v>144</v>
      </c>
      <c r="P31" t="s">
        <v>144</v>
      </c>
      <c r="Q31">
        <v>1000</v>
      </c>
      <c r="X31">
        <v>2.2000000000000001E-4</v>
      </c>
      <c r="Y31">
        <v>68906.84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2.2000000000000001E-4</v>
      </c>
      <c r="AH31">
        <v>2</v>
      </c>
      <c r="AI31">
        <v>42387691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ROW(Source!A34)</f>
        <v>34</v>
      </c>
      <c r="B32">
        <v>42387700</v>
      </c>
      <c r="C32">
        <v>42387695</v>
      </c>
      <c r="D32">
        <v>41699995</v>
      </c>
      <c r="E32">
        <v>19</v>
      </c>
      <c r="F32">
        <v>1</v>
      </c>
      <c r="G32">
        <v>19</v>
      </c>
      <c r="H32">
        <v>1</v>
      </c>
      <c r="I32" t="s">
        <v>135</v>
      </c>
      <c r="J32" t="s">
        <v>3</v>
      </c>
      <c r="K32" t="s">
        <v>136</v>
      </c>
      <c r="L32">
        <v>1191</v>
      </c>
      <c r="N32">
        <v>1013</v>
      </c>
      <c r="O32" t="s">
        <v>137</v>
      </c>
      <c r="P32" t="s">
        <v>137</v>
      </c>
      <c r="Q32">
        <v>1</v>
      </c>
      <c r="X32">
        <v>61.18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1</v>
      </c>
      <c r="AF32" t="s">
        <v>3</v>
      </c>
      <c r="AG32">
        <v>61.18</v>
      </c>
      <c r="AH32">
        <v>2</v>
      </c>
      <c r="AI32">
        <v>42387696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ROW(Source!A34)</f>
        <v>34</v>
      </c>
      <c r="B33">
        <v>42387701</v>
      </c>
      <c r="C33">
        <v>42387695</v>
      </c>
      <c r="D33">
        <v>41711178</v>
      </c>
      <c r="E33">
        <v>1</v>
      </c>
      <c r="F33">
        <v>1</v>
      </c>
      <c r="G33">
        <v>19</v>
      </c>
      <c r="H33">
        <v>3</v>
      </c>
      <c r="I33" t="s">
        <v>151</v>
      </c>
      <c r="J33" t="s">
        <v>152</v>
      </c>
      <c r="K33" t="s">
        <v>153</v>
      </c>
      <c r="L33">
        <v>1348</v>
      </c>
      <c r="N33">
        <v>1009</v>
      </c>
      <c r="O33" t="s">
        <v>144</v>
      </c>
      <c r="P33" t="s">
        <v>144</v>
      </c>
      <c r="Q33">
        <v>1000</v>
      </c>
      <c r="X33">
        <v>3.7900000000000003E-2</v>
      </c>
      <c r="Y33">
        <v>15222.65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3.7900000000000003E-2</v>
      </c>
      <c r="AH33">
        <v>2</v>
      </c>
      <c r="AI33">
        <v>42387697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ROW(Source!A34)</f>
        <v>34</v>
      </c>
      <c r="B34">
        <v>42387702</v>
      </c>
      <c r="C34">
        <v>42387695</v>
      </c>
      <c r="D34">
        <v>41709288</v>
      </c>
      <c r="E34">
        <v>1</v>
      </c>
      <c r="F34">
        <v>1</v>
      </c>
      <c r="G34">
        <v>19</v>
      </c>
      <c r="H34">
        <v>3</v>
      </c>
      <c r="I34" t="s">
        <v>199</v>
      </c>
      <c r="J34" t="s">
        <v>200</v>
      </c>
      <c r="K34" t="s">
        <v>201</v>
      </c>
      <c r="L34">
        <v>1348</v>
      </c>
      <c r="N34">
        <v>1009</v>
      </c>
      <c r="O34" t="s">
        <v>144</v>
      </c>
      <c r="P34" t="s">
        <v>144</v>
      </c>
      <c r="Q34">
        <v>1000</v>
      </c>
      <c r="X34">
        <v>2.4400000000000002E-2</v>
      </c>
      <c r="Y34">
        <v>75680.97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2.4400000000000002E-2</v>
      </c>
      <c r="AH34">
        <v>2</v>
      </c>
      <c r="AI34">
        <v>42387698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ROW(Source!A34)</f>
        <v>34</v>
      </c>
      <c r="B35">
        <v>42387703</v>
      </c>
      <c r="C35">
        <v>42387695</v>
      </c>
      <c r="D35">
        <v>41709328</v>
      </c>
      <c r="E35">
        <v>1</v>
      </c>
      <c r="F35">
        <v>1</v>
      </c>
      <c r="G35">
        <v>19</v>
      </c>
      <c r="H35">
        <v>3</v>
      </c>
      <c r="I35" t="s">
        <v>163</v>
      </c>
      <c r="J35" t="s">
        <v>164</v>
      </c>
      <c r="K35" t="s">
        <v>165</v>
      </c>
      <c r="L35">
        <v>1346</v>
      </c>
      <c r="N35">
        <v>1009</v>
      </c>
      <c r="O35" t="s">
        <v>166</v>
      </c>
      <c r="P35" t="s">
        <v>166</v>
      </c>
      <c r="Q35">
        <v>1</v>
      </c>
      <c r="X35">
        <v>10.6</v>
      </c>
      <c r="Y35">
        <v>67.64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10.6</v>
      </c>
      <c r="AH35">
        <v>2</v>
      </c>
      <c r="AI35">
        <v>42387699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ROW(Source!A35)</f>
        <v>35</v>
      </c>
      <c r="B36">
        <v>42391153</v>
      </c>
      <c r="C36">
        <v>42391152</v>
      </c>
      <c r="D36">
        <v>41699995</v>
      </c>
      <c r="E36">
        <v>19</v>
      </c>
      <c r="F36">
        <v>1</v>
      </c>
      <c r="G36">
        <v>19</v>
      </c>
      <c r="H36">
        <v>1</v>
      </c>
      <c r="I36" t="s">
        <v>135</v>
      </c>
      <c r="J36" t="s">
        <v>3</v>
      </c>
      <c r="K36" t="s">
        <v>136</v>
      </c>
      <c r="L36">
        <v>1191</v>
      </c>
      <c r="N36">
        <v>1013</v>
      </c>
      <c r="O36" t="s">
        <v>137</v>
      </c>
      <c r="P36" t="s">
        <v>137</v>
      </c>
      <c r="Q36">
        <v>1</v>
      </c>
      <c r="X36">
        <v>24.15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1</v>
      </c>
      <c r="AF36" t="s">
        <v>3</v>
      </c>
      <c r="AG36">
        <v>24.15</v>
      </c>
      <c r="AH36">
        <v>2</v>
      </c>
      <c r="AI36">
        <v>42391153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ROW(Source!A35)</f>
        <v>35</v>
      </c>
      <c r="B37">
        <v>42391154</v>
      </c>
      <c r="C37">
        <v>42391152</v>
      </c>
      <c r="D37">
        <v>41709903</v>
      </c>
      <c r="E37">
        <v>1</v>
      </c>
      <c r="F37">
        <v>1</v>
      </c>
      <c r="G37">
        <v>19</v>
      </c>
      <c r="H37">
        <v>3</v>
      </c>
      <c r="I37" t="s">
        <v>187</v>
      </c>
      <c r="J37" t="s">
        <v>202</v>
      </c>
      <c r="K37" t="s">
        <v>189</v>
      </c>
      <c r="L37">
        <v>1348</v>
      </c>
      <c r="N37">
        <v>1009</v>
      </c>
      <c r="O37" t="s">
        <v>144</v>
      </c>
      <c r="P37" t="s">
        <v>144</v>
      </c>
      <c r="Q37">
        <v>1000</v>
      </c>
      <c r="X37">
        <v>1.41E-3</v>
      </c>
      <c r="Y37">
        <v>45454.3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1.41E-3</v>
      </c>
      <c r="AH37">
        <v>2</v>
      </c>
      <c r="AI37">
        <v>42391154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ROW(Source!A35)</f>
        <v>35</v>
      </c>
      <c r="B38">
        <v>42391155</v>
      </c>
      <c r="C38">
        <v>42391152</v>
      </c>
      <c r="D38">
        <v>41713463</v>
      </c>
      <c r="E38">
        <v>1</v>
      </c>
      <c r="F38">
        <v>1</v>
      </c>
      <c r="G38">
        <v>19</v>
      </c>
      <c r="H38">
        <v>3</v>
      </c>
      <c r="I38" t="s">
        <v>55</v>
      </c>
      <c r="J38" t="s">
        <v>58</v>
      </c>
      <c r="K38" t="s">
        <v>56</v>
      </c>
      <c r="L38">
        <v>1301</v>
      </c>
      <c r="N38">
        <v>1003</v>
      </c>
      <c r="O38" t="s">
        <v>57</v>
      </c>
      <c r="P38" t="s">
        <v>57</v>
      </c>
      <c r="Q38">
        <v>1</v>
      </c>
      <c r="X38">
        <v>224</v>
      </c>
      <c r="Y38">
        <v>38.049999999999997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224</v>
      </c>
      <c r="AH38">
        <v>2</v>
      </c>
      <c r="AI38">
        <v>42391155</v>
      </c>
      <c r="AJ38">
        <v>39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ROW(Source!A38)</f>
        <v>38</v>
      </c>
      <c r="B39">
        <v>42387709</v>
      </c>
      <c r="C39">
        <v>42387704</v>
      </c>
      <c r="D39">
        <v>41699995</v>
      </c>
      <c r="E39">
        <v>19</v>
      </c>
      <c r="F39">
        <v>1</v>
      </c>
      <c r="G39">
        <v>19</v>
      </c>
      <c r="H39">
        <v>1</v>
      </c>
      <c r="I39" t="s">
        <v>135</v>
      </c>
      <c r="J39" t="s">
        <v>3</v>
      </c>
      <c r="K39" t="s">
        <v>136</v>
      </c>
      <c r="L39">
        <v>1191</v>
      </c>
      <c r="N39">
        <v>1013</v>
      </c>
      <c r="O39" t="s">
        <v>137</v>
      </c>
      <c r="P39" t="s">
        <v>137</v>
      </c>
      <c r="Q39">
        <v>1</v>
      </c>
      <c r="X39">
        <v>69.12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1</v>
      </c>
      <c r="AF39" t="s">
        <v>3</v>
      </c>
      <c r="AG39">
        <v>69.12</v>
      </c>
      <c r="AH39">
        <v>2</v>
      </c>
      <c r="AI39">
        <v>42387705</v>
      </c>
      <c r="AJ39">
        <v>41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ROW(Source!A38)</f>
        <v>38</v>
      </c>
      <c r="B40">
        <v>42387710</v>
      </c>
      <c r="C40">
        <v>42387704</v>
      </c>
      <c r="D40">
        <v>41708825</v>
      </c>
      <c r="E40">
        <v>1</v>
      </c>
      <c r="F40">
        <v>1</v>
      </c>
      <c r="G40">
        <v>19</v>
      </c>
      <c r="H40">
        <v>2</v>
      </c>
      <c r="I40" t="s">
        <v>203</v>
      </c>
      <c r="J40" t="s">
        <v>204</v>
      </c>
      <c r="K40" t="s">
        <v>205</v>
      </c>
      <c r="L40">
        <v>1368</v>
      </c>
      <c r="N40">
        <v>1011</v>
      </c>
      <c r="O40" t="s">
        <v>177</v>
      </c>
      <c r="P40" t="s">
        <v>177</v>
      </c>
      <c r="Q40">
        <v>1</v>
      </c>
      <c r="X40">
        <v>4.3099999999999996</v>
      </c>
      <c r="Y40">
        <v>0</v>
      </c>
      <c r="Z40">
        <v>5.66</v>
      </c>
      <c r="AA40">
        <v>0.85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4.3099999999999996</v>
      </c>
      <c r="AH40">
        <v>2</v>
      </c>
      <c r="AI40">
        <v>42387706</v>
      </c>
      <c r="AJ40">
        <v>42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ROW(Source!A38)</f>
        <v>38</v>
      </c>
      <c r="B41">
        <v>42387711</v>
      </c>
      <c r="C41">
        <v>42387704</v>
      </c>
      <c r="D41">
        <v>41709903</v>
      </c>
      <c r="E41">
        <v>1</v>
      </c>
      <c r="F41">
        <v>1</v>
      </c>
      <c r="G41">
        <v>19</v>
      </c>
      <c r="H41">
        <v>3</v>
      </c>
      <c r="I41" t="s">
        <v>187</v>
      </c>
      <c r="J41" t="s">
        <v>188</v>
      </c>
      <c r="K41" t="s">
        <v>189</v>
      </c>
      <c r="L41">
        <v>1348</v>
      </c>
      <c r="N41">
        <v>1009</v>
      </c>
      <c r="O41" t="s">
        <v>144</v>
      </c>
      <c r="P41" t="s">
        <v>144</v>
      </c>
      <c r="Q41">
        <v>1000</v>
      </c>
      <c r="X41">
        <v>2.6200000000000001E-2</v>
      </c>
      <c r="Y41">
        <v>45454.3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2.6200000000000001E-2</v>
      </c>
      <c r="AH41">
        <v>2</v>
      </c>
      <c r="AI41">
        <v>42387707</v>
      </c>
      <c r="AJ41">
        <v>43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ROW(Source!A38)</f>
        <v>38</v>
      </c>
      <c r="B42">
        <v>42387712</v>
      </c>
      <c r="C42">
        <v>42387704</v>
      </c>
      <c r="D42">
        <v>41713433</v>
      </c>
      <c r="E42">
        <v>1</v>
      </c>
      <c r="F42">
        <v>1</v>
      </c>
      <c r="G42">
        <v>19</v>
      </c>
      <c r="H42">
        <v>3</v>
      </c>
      <c r="I42" t="s">
        <v>68</v>
      </c>
      <c r="J42" t="s">
        <v>206</v>
      </c>
      <c r="K42" t="s">
        <v>69</v>
      </c>
      <c r="L42">
        <v>1339</v>
      </c>
      <c r="N42">
        <v>1007</v>
      </c>
      <c r="O42" t="s">
        <v>70</v>
      </c>
      <c r="P42" t="s">
        <v>70</v>
      </c>
      <c r="Q42">
        <v>1</v>
      </c>
      <c r="X42">
        <v>3.71</v>
      </c>
      <c r="Y42">
        <v>14332.86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3.71</v>
      </c>
      <c r="AH42">
        <v>2</v>
      </c>
      <c r="AI42">
        <v>42387708</v>
      </c>
      <c r="AJ42">
        <v>44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ROW(Source!A40)</f>
        <v>40</v>
      </c>
      <c r="B43">
        <v>42387727</v>
      </c>
      <c r="C43">
        <v>42387713</v>
      </c>
      <c r="D43">
        <v>41699995</v>
      </c>
      <c r="E43">
        <v>19</v>
      </c>
      <c r="F43">
        <v>1</v>
      </c>
      <c r="G43">
        <v>19</v>
      </c>
      <c r="H43">
        <v>1</v>
      </c>
      <c r="I43" t="s">
        <v>135</v>
      </c>
      <c r="J43" t="s">
        <v>3</v>
      </c>
      <c r="K43" t="s">
        <v>136</v>
      </c>
      <c r="L43">
        <v>1191</v>
      </c>
      <c r="N43">
        <v>1013</v>
      </c>
      <c r="O43" t="s">
        <v>137</v>
      </c>
      <c r="P43" t="s">
        <v>137</v>
      </c>
      <c r="Q43">
        <v>1</v>
      </c>
      <c r="X43">
        <v>95.49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1</v>
      </c>
      <c r="AF43" t="s">
        <v>3</v>
      </c>
      <c r="AG43">
        <v>95.49</v>
      </c>
      <c r="AH43">
        <v>2</v>
      </c>
      <c r="AI43">
        <v>42387714</v>
      </c>
      <c r="AJ43">
        <v>46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ROW(Source!A40)</f>
        <v>40</v>
      </c>
      <c r="B44">
        <v>42387728</v>
      </c>
      <c r="C44">
        <v>42387713</v>
      </c>
      <c r="D44">
        <v>41708534</v>
      </c>
      <c r="E44">
        <v>1</v>
      </c>
      <c r="F44">
        <v>1</v>
      </c>
      <c r="G44">
        <v>19</v>
      </c>
      <c r="H44">
        <v>2</v>
      </c>
      <c r="I44" t="s">
        <v>207</v>
      </c>
      <c r="J44" t="s">
        <v>208</v>
      </c>
      <c r="K44" t="s">
        <v>209</v>
      </c>
      <c r="L44">
        <v>1368</v>
      </c>
      <c r="N44">
        <v>1011</v>
      </c>
      <c r="O44" t="s">
        <v>177</v>
      </c>
      <c r="P44" t="s">
        <v>177</v>
      </c>
      <c r="Q44">
        <v>1</v>
      </c>
      <c r="X44">
        <v>6.64</v>
      </c>
      <c r="Y44">
        <v>0</v>
      </c>
      <c r="Z44">
        <v>47.34</v>
      </c>
      <c r="AA44">
        <v>20.22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6.64</v>
      </c>
      <c r="AH44">
        <v>2</v>
      </c>
      <c r="AI44">
        <v>42387715</v>
      </c>
      <c r="AJ44">
        <v>47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ROW(Source!A40)</f>
        <v>40</v>
      </c>
      <c r="B45">
        <v>42387729</v>
      </c>
      <c r="C45">
        <v>42387713</v>
      </c>
      <c r="D45">
        <v>41708886</v>
      </c>
      <c r="E45">
        <v>1</v>
      </c>
      <c r="F45">
        <v>1</v>
      </c>
      <c r="G45">
        <v>19</v>
      </c>
      <c r="H45">
        <v>2</v>
      </c>
      <c r="I45" t="s">
        <v>193</v>
      </c>
      <c r="J45" t="s">
        <v>210</v>
      </c>
      <c r="K45" t="s">
        <v>195</v>
      </c>
      <c r="L45">
        <v>1368</v>
      </c>
      <c r="N45">
        <v>1011</v>
      </c>
      <c r="O45" t="s">
        <v>177</v>
      </c>
      <c r="P45" t="s">
        <v>177</v>
      </c>
      <c r="Q45">
        <v>1</v>
      </c>
      <c r="X45">
        <v>11.78</v>
      </c>
      <c r="Y45">
        <v>0</v>
      </c>
      <c r="Z45">
        <v>7.36</v>
      </c>
      <c r="AA45">
        <v>0.74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11.78</v>
      </c>
      <c r="AH45">
        <v>2</v>
      </c>
      <c r="AI45">
        <v>42387716</v>
      </c>
      <c r="AJ45">
        <v>48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ROW(Source!A40)</f>
        <v>40</v>
      </c>
      <c r="B46">
        <v>42387730</v>
      </c>
      <c r="C46">
        <v>42387713</v>
      </c>
      <c r="D46">
        <v>41708819</v>
      </c>
      <c r="E46">
        <v>1</v>
      </c>
      <c r="F46">
        <v>1</v>
      </c>
      <c r="G46">
        <v>19</v>
      </c>
      <c r="H46">
        <v>2</v>
      </c>
      <c r="I46" t="s">
        <v>211</v>
      </c>
      <c r="J46" t="s">
        <v>212</v>
      </c>
      <c r="K46" t="s">
        <v>213</v>
      </c>
      <c r="L46">
        <v>1368</v>
      </c>
      <c r="N46">
        <v>1011</v>
      </c>
      <c r="O46" t="s">
        <v>177</v>
      </c>
      <c r="P46" t="s">
        <v>177</v>
      </c>
      <c r="Q46">
        <v>1</v>
      </c>
      <c r="X46">
        <v>2.78</v>
      </c>
      <c r="Y46">
        <v>0</v>
      </c>
      <c r="Z46">
        <v>10.64</v>
      </c>
      <c r="AA46">
        <v>0.85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2.78</v>
      </c>
      <c r="AH46">
        <v>2</v>
      </c>
      <c r="AI46">
        <v>42387717</v>
      </c>
      <c r="AJ46">
        <v>49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ROW(Source!A40)</f>
        <v>40</v>
      </c>
      <c r="B47">
        <v>42387731</v>
      </c>
      <c r="C47">
        <v>42387713</v>
      </c>
      <c r="D47">
        <v>41708822</v>
      </c>
      <c r="E47">
        <v>1</v>
      </c>
      <c r="F47">
        <v>1</v>
      </c>
      <c r="G47">
        <v>19</v>
      </c>
      <c r="H47">
        <v>2</v>
      </c>
      <c r="I47" t="s">
        <v>174</v>
      </c>
      <c r="J47" t="s">
        <v>214</v>
      </c>
      <c r="K47" t="s">
        <v>176</v>
      </c>
      <c r="L47">
        <v>1368</v>
      </c>
      <c r="N47">
        <v>1011</v>
      </c>
      <c r="O47" t="s">
        <v>177</v>
      </c>
      <c r="P47" t="s">
        <v>177</v>
      </c>
      <c r="Q47">
        <v>1</v>
      </c>
      <c r="X47">
        <v>4.91</v>
      </c>
      <c r="Y47">
        <v>0</v>
      </c>
      <c r="Z47">
        <v>3.83</v>
      </c>
      <c r="AA47">
        <v>0.87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4.91</v>
      </c>
      <c r="AH47">
        <v>2</v>
      </c>
      <c r="AI47">
        <v>42387718</v>
      </c>
      <c r="AJ47">
        <v>50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ROW(Source!A40)</f>
        <v>40</v>
      </c>
      <c r="B48">
        <v>42387732</v>
      </c>
      <c r="C48">
        <v>42387713</v>
      </c>
      <c r="D48">
        <v>41708172</v>
      </c>
      <c r="E48">
        <v>1</v>
      </c>
      <c r="F48">
        <v>1</v>
      </c>
      <c r="G48">
        <v>19</v>
      </c>
      <c r="H48">
        <v>2</v>
      </c>
      <c r="I48" t="s">
        <v>215</v>
      </c>
      <c r="J48" t="s">
        <v>216</v>
      </c>
      <c r="K48" t="s">
        <v>217</v>
      </c>
      <c r="L48">
        <v>1368</v>
      </c>
      <c r="N48">
        <v>1011</v>
      </c>
      <c r="O48" t="s">
        <v>177</v>
      </c>
      <c r="P48" t="s">
        <v>177</v>
      </c>
      <c r="Q48">
        <v>1</v>
      </c>
      <c r="X48">
        <v>0.04</v>
      </c>
      <c r="Y48">
        <v>0</v>
      </c>
      <c r="Z48">
        <v>496.99</v>
      </c>
      <c r="AA48">
        <v>387.36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0.04</v>
      </c>
      <c r="AH48">
        <v>2</v>
      </c>
      <c r="AI48">
        <v>42387719</v>
      </c>
      <c r="AJ48">
        <v>51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ROW(Source!A40)</f>
        <v>40</v>
      </c>
      <c r="B49">
        <v>42387733</v>
      </c>
      <c r="C49">
        <v>42387713</v>
      </c>
      <c r="D49">
        <v>41709927</v>
      </c>
      <c r="E49">
        <v>1</v>
      </c>
      <c r="F49">
        <v>1</v>
      </c>
      <c r="G49">
        <v>19</v>
      </c>
      <c r="H49">
        <v>3</v>
      </c>
      <c r="I49" t="s">
        <v>218</v>
      </c>
      <c r="J49" t="s">
        <v>219</v>
      </c>
      <c r="K49" t="s">
        <v>220</v>
      </c>
      <c r="L49">
        <v>1355</v>
      </c>
      <c r="N49">
        <v>1010</v>
      </c>
      <c r="O49" t="s">
        <v>221</v>
      </c>
      <c r="P49" t="s">
        <v>221</v>
      </c>
      <c r="Q49">
        <v>100</v>
      </c>
      <c r="X49">
        <v>15.2</v>
      </c>
      <c r="Y49">
        <v>219.31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15.2</v>
      </c>
      <c r="AH49">
        <v>2</v>
      </c>
      <c r="AI49">
        <v>42387720</v>
      </c>
      <c r="AJ49">
        <v>52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ROW(Source!A40)</f>
        <v>40</v>
      </c>
      <c r="B50">
        <v>42387734</v>
      </c>
      <c r="C50">
        <v>42387713</v>
      </c>
      <c r="D50">
        <v>41710602</v>
      </c>
      <c r="E50">
        <v>1</v>
      </c>
      <c r="F50">
        <v>1</v>
      </c>
      <c r="G50">
        <v>19</v>
      </c>
      <c r="H50">
        <v>3</v>
      </c>
      <c r="I50" t="s">
        <v>222</v>
      </c>
      <c r="J50" t="s">
        <v>223</v>
      </c>
      <c r="K50" t="s">
        <v>224</v>
      </c>
      <c r="L50">
        <v>1346</v>
      </c>
      <c r="N50">
        <v>1009</v>
      </c>
      <c r="O50" t="s">
        <v>166</v>
      </c>
      <c r="P50" t="s">
        <v>166</v>
      </c>
      <c r="Q50">
        <v>1</v>
      </c>
      <c r="X50">
        <v>4.9000000000000004</v>
      </c>
      <c r="Y50">
        <v>156.94999999999999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4.9000000000000004</v>
      </c>
      <c r="AH50">
        <v>2</v>
      </c>
      <c r="AI50">
        <v>42387721</v>
      </c>
      <c r="AJ50">
        <v>53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ROW(Source!A40)</f>
        <v>40</v>
      </c>
      <c r="B51">
        <v>42387735</v>
      </c>
      <c r="C51">
        <v>42387713</v>
      </c>
      <c r="D51">
        <v>41711159</v>
      </c>
      <c r="E51">
        <v>1</v>
      </c>
      <c r="F51">
        <v>1</v>
      </c>
      <c r="G51">
        <v>19</v>
      </c>
      <c r="H51">
        <v>3</v>
      </c>
      <c r="I51" t="s">
        <v>148</v>
      </c>
      <c r="J51" t="s">
        <v>170</v>
      </c>
      <c r="K51" t="s">
        <v>150</v>
      </c>
      <c r="L51">
        <v>1327</v>
      </c>
      <c r="N51">
        <v>1005</v>
      </c>
      <c r="O51" t="s">
        <v>39</v>
      </c>
      <c r="P51" t="s">
        <v>39</v>
      </c>
      <c r="Q51">
        <v>1</v>
      </c>
      <c r="X51">
        <v>0.2</v>
      </c>
      <c r="Y51">
        <v>165.36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0.2</v>
      </c>
      <c r="AH51">
        <v>2</v>
      </c>
      <c r="AI51">
        <v>42387722</v>
      </c>
      <c r="AJ51">
        <v>54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ROW(Source!A40)</f>
        <v>40</v>
      </c>
      <c r="B52">
        <v>42387736</v>
      </c>
      <c r="C52">
        <v>42387713</v>
      </c>
      <c r="D52">
        <v>41710871</v>
      </c>
      <c r="E52">
        <v>1</v>
      </c>
      <c r="F52">
        <v>1</v>
      </c>
      <c r="G52">
        <v>19</v>
      </c>
      <c r="H52">
        <v>3</v>
      </c>
      <c r="I52" t="s">
        <v>225</v>
      </c>
      <c r="J52" t="s">
        <v>226</v>
      </c>
      <c r="K52" t="s">
        <v>227</v>
      </c>
      <c r="L52">
        <v>1346</v>
      </c>
      <c r="N52">
        <v>1009</v>
      </c>
      <c r="O52" t="s">
        <v>166</v>
      </c>
      <c r="P52" t="s">
        <v>166</v>
      </c>
      <c r="Q52">
        <v>1</v>
      </c>
      <c r="X52">
        <v>0.51500000000000001</v>
      </c>
      <c r="Y52">
        <v>173.93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0.51500000000000001</v>
      </c>
      <c r="AH52">
        <v>2</v>
      </c>
      <c r="AI52">
        <v>42387723</v>
      </c>
      <c r="AJ52">
        <v>55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ROW(Source!A40)</f>
        <v>40</v>
      </c>
      <c r="B53">
        <v>42387737</v>
      </c>
      <c r="C53">
        <v>42387713</v>
      </c>
      <c r="D53">
        <v>41710872</v>
      </c>
      <c r="E53">
        <v>1</v>
      </c>
      <c r="F53">
        <v>1</v>
      </c>
      <c r="G53">
        <v>19</v>
      </c>
      <c r="H53">
        <v>3</v>
      </c>
      <c r="I53" t="s">
        <v>228</v>
      </c>
      <c r="J53" t="s">
        <v>229</v>
      </c>
      <c r="K53" t="s">
        <v>230</v>
      </c>
      <c r="L53">
        <v>1348</v>
      </c>
      <c r="N53">
        <v>1009</v>
      </c>
      <c r="O53" t="s">
        <v>144</v>
      </c>
      <c r="P53" t="s">
        <v>144</v>
      </c>
      <c r="Q53">
        <v>1000</v>
      </c>
      <c r="X53">
        <v>0.08</v>
      </c>
      <c r="Y53">
        <v>47086.66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0.08</v>
      </c>
      <c r="AH53">
        <v>2</v>
      </c>
      <c r="AI53">
        <v>42387724</v>
      </c>
      <c r="AJ53">
        <v>56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ROW(Source!A40)</f>
        <v>40</v>
      </c>
      <c r="B54">
        <v>42387738</v>
      </c>
      <c r="C54">
        <v>42387713</v>
      </c>
      <c r="D54">
        <v>41709143</v>
      </c>
      <c r="E54">
        <v>1</v>
      </c>
      <c r="F54">
        <v>1</v>
      </c>
      <c r="G54">
        <v>19</v>
      </c>
      <c r="H54">
        <v>3</v>
      </c>
      <c r="I54" t="s">
        <v>231</v>
      </c>
      <c r="J54" t="s">
        <v>232</v>
      </c>
      <c r="K54" t="s">
        <v>233</v>
      </c>
      <c r="L54">
        <v>1348</v>
      </c>
      <c r="N54">
        <v>1009</v>
      </c>
      <c r="O54" t="s">
        <v>144</v>
      </c>
      <c r="P54" t="s">
        <v>144</v>
      </c>
      <c r="Q54">
        <v>1000</v>
      </c>
      <c r="X54">
        <v>4.8999999999999998E-3</v>
      </c>
      <c r="Y54">
        <v>46828.26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4.8999999999999998E-3</v>
      </c>
      <c r="AH54">
        <v>2</v>
      </c>
      <c r="AI54">
        <v>42387725</v>
      </c>
      <c r="AJ54">
        <v>57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ROW(Source!A40)</f>
        <v>40</v>
      </c>
      <c r="B55">
        <v>42387739</v>
      </c>
      <c r="C55">
        <v>42387713</v>
      </c>
      <c r="D55">
        <v>41709557</v>
      </c>
      <c r="E55">
        <v>1</v>
      </c>
      <c r="F55">
        <v>1</v>
      </c>
      <c r="G55">
        <v>19</v>
      </c>
      <c r="H55">
        <v>3</v>
      </c>
      <c r="I55" t="s">
        <v>234</v>
      </c>
      <c r="J55" t="s">
        <v>235</v>
      </c>
      <c r="K55" t="s">
        <v>236</v>
      </c>
      <c r="L55">
        <v>1339</v>
      </c>
      <c r="N55">
        <v>1007</v>
      </c>
      <c r="O55" t="s">
        <v>70</v>
      </c>
      <c r="P55" t="s">
        <v>70</v>
      </c>
      <c r="Q55">
        <v>1</v>
      </c>
      <c r="X55">
        <v>1.03</v>
      </c>
      <c r="Y55">
        <v>45466.82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1.03</v>
      </c>
      <c r="AH55">
        <v>2</v>
      </c>
      <c r="AI55">
        <v>42387726</v>
      </c>
      <c r="AJ55">
        <v>58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Смета СН-2012 по гл. 1-5</vt:lpstr>
      <vt:lpstr>Дефектная ведомость</vt:lpstr>
      <vt:lpstr>Source</vt:lpstr>
      <vt:lpstr>SourceObSm</vt:lpstr>
      <vt:lpstr>SmtRes</vt:lpstr>
      <vt:lpstr>EtalonRes</vt:lpstr>
      <vt:lpstr>'Дефектная ведомость'!Заголовки_для_печати</vt:lpstr>
      <vt:lpstr>'Смета СН-2012 по гл. 1-5'!Заголовки_для_печати</vt:lpstr>
      <vt:lpstr>'Дефектная ведомость'!Область_печати</vt:lpstr>
      <vt:lpstr>'Смета СН-2012 по гл. 1-5'!Область_печати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1297</dc:creator>
  <cp:lastModifiedBy>Windows User</cp:lastModifiedBy>
  <dcterms:created xsi:type="dcterms:W3CDTF">2018-09-14T05:45:03Z</dcterms:created>
  <dcterms:modified xsi:type="dcterms:W3CDTF">2018-10-19T17:24:01Z</dcterms:modified>
</cp:coreProperties>
</file>