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95" windowHeight="10005" activeTab="0"/>
  </bookViews>
  <sheets>
    <sheet name="Ведомость объемов работ" sheetId="1" r:id="rId1"/>
    <sheet name="Акт КС-2 13 гр. по ФЕР" sheetId="2" state="hidden" r:id="rId2"/>
    <sheet name="Source" sheetId="3" state="hidden" r:id="rId3"/>
    <sheet name="SourceObSm" sheetId="4" state="hidden" r:id="rId4"/>
    <sheet name="SmtRes" sheetId="5" state="hidden" r:id="rId5"/>
    <sheet name="EtalonRes" sheetId="6" state="hidden" r:id="rId6"/>
  </sheets>
  <definedNames>
    <definedName name="_xlnm.Print_Titles" localSheetId="1">'Акт КС-2 13 гр. по ФЕР'!$34:$34</definedName>
    <definedName name="_xlnm.Print_Titles" localSheetId="0">'Ведомость объемов работ'!$18:$18</definedName>
    <definedName name="_xlnm.Print_Area" localSheetId="1">'Акт КС-2 13 гр. по ФЕР'!$A$1:$M$344</definedName>
    <definedName name="_xlnm.Print_Area" localSheetId="0">'Ведомость объемов работ'!$A$1:$E$95</definedName>
  </definedNames>
  <calcPr fullCalcOnLoad="1"/>
</workbook>
</file>

<file path=xl/sharedStrings.xml><?xml version="1.0" encoding="utf-8"?>
<sst xmlns="http://schemas.openxmlformats.org/spreadsheetml/2006/main" count="6522" uniqueCount="849">
  <si>
    <t>Smeta.RU  (495) 974-1589</t>
  </si>
  <si>
    <t>_PS_</t>
  </si>
  <si>
    <t>Smeta.RU</t>
  </si>
  <si>
    <t/>
  </si>
  <si>
    <t>Новый объект_(Копия)</t>
  </si>
  <si>
    <t>120319-1_КРОВЛЯ_ТЕР_лен обл_(Копия)</t>
  </si>
  <si>
    <t>Сметные нормы списания</t>
  </si>
  <si>
    <t>Коды ценников</t>
  </si>
  <si>
    <t>ТР для Версии 10: Центральные регионы (с уч. п-ма 2536-ИП/12/ГС от 27.11.12, 01/57049-ЮЛ от 27.04.2018) от 30.08.2018 г</t>
  </si>
  <si>
    <t>Поправки  для НБ 2014 года от 26.02.2015</t>
  </si>
  <si>
    <t>Новая локальная смета</t>
  </si>
  <si>
    <t>Новый раздел</t>
  </si>
  <si>
    <t>1. Демонтажные работы</t>
  </si>
  <si>
    <t>1</t>
  </si>
  <si>
    <t>46-04-008-3</t>
  </si>
  <si>
    <t>Разборка покрытий кровель из асбестоцементных плит и черепицы</t>
  </si>
  <si>
    <t>100 м2 покрытия</t>
  </si>
  <si>
    <t>ТЕР-2001 Ленинградской обл. (ред. 2014), 46-04-008-3, приказ Минстроя России № 648/пр от 09.09.2015 г.</t>
  </si>
  <si>
    <t>Поправка: МДС 81-38.2004, прил.3, п.11.2р  Наименование: Ремонт отдельных конструктивных элементов зданий Ремонт сложных кровель</t>
  </si>
  <si>
    <t>)*1,25</t>
  </si>
  <si>
    <t>Общестроительные работы</t>
  </si>
  <si>
    <t>Реконструкция зданий и сооружений</t>
  </si>
  <si>
    <t>ФЕР-46</t>
  </si>
  <si>
    <t>Поправка: МДС 81-38.2004, прил.3, п.11.2р</t>
  </si>
  <si>
    <t>*0,9</t>
  </si>
  <si>
    <t>*0,85</t>
  </si>
  <si>
    <t>2</t>
  </si>
  <si>
    <t>58-1-1</t>
  </si>
  <si>
    <t>Разборка деревянных элементов конструкций крыш обрешетки из брусков с прозорами</t>
  </si>
  <si>
    <t>100 м2 кровли</t>
  </si>
  <si>
    <t>ТЕРр-2001 Ленинградской обл. (ред. 2014), 58-1-1, приказ Минстроя России № 648/пр от 09.09.2015 г.</t>
  </si>
  <si>
    <t>Ремонтно-строительные работы</t>
  </si>
  <si>
    <t>Крыши, кровля</t>
  </si>
  <si>
    <t>рФЕР-58</t>
  </si>
  <si>
    <t>2,1</t>
  </si>
  <si>
    <t>509-9900</t>
  </si>
  <si>
    <t>Строительный мусор</t>
  </si>
  <si>
    <t>т</t>
  </si>
  <si>
    <t>ТССЦ-2001 Ленинградской обл. (ред. 2014), 509-9900, приказ Минстроя России № 648/пр от 09.09.2015 г.</t>
  </si>
  <si>
    <t>Материалы монтажные</t>
  </si>
  <si>
    <t>Материалы и конструкции ( монтажные )  по ценникам и каталогам</t>
  </si>
  <si>
    <t>ФССЦм</t>
  </si>
  <si>
    <t>3</t>
  </si>
  <si>
    <t>46-04-008-2</t>
  </si>
  <si>
    <t>Разборка покрытий кровель из листовой стали (покрытия вентканалов)</t>
  </si>
  <si>
    <t>ТЕР-2001 Ленинградской обл. (ред. 2014), 46-04-008-2, приказ Минстроя России № 648/пр от 09.09.2015 г.</t>
  </si>
  <si>
    <t>4</t>
  </si>
  <si>
    <t>10-02-036-1</t>
  </si>
  <si>
    <t>Демонтаж стропил (подкосы и стропильные доски)</t>
  </si>
  <si>
    <t>1 м3 древесины в конструкции</t>
  </si>
  <si>
    <t>ТЕР-2001 Ленинградской обл. (ред. 2014), 10-02-036-1, приказ Минстроя России № 648/пр от 09.09.2015 г.</t>
  </si>
  <si>
    <t>)*0</t>
  </si>
  <si>
    <t>)*0,8)*1,25</t>
  </si>
  <si>
    <t>Деревянные конструкции</t>
  </si>
  <si>
    <t>ФЕР-10</t>
  </si>
  <si>
    <t>Поправка: МДС 81-36.2004, п.3.3.1.б  Поправка: МДС 81-35.2004, прил.1, т.3, п.11.2</t>
  </si>
  <si>
    <t>5</t>
  </si>
  <si>
    <t>58-17-1</t>
  </si>
  <si>
    <t>Разборка изоляции на кровле (рубероид)</t>
  </si>
  <si>
    <t>100 М2 ПОКРЫТИЯ КРОВЛИ</t>
  </si>
  <si>
    <t>ТЕРр-2001 Ленинградской обл. (ред. 2014), 58-17-1, приказ Минстроя России № 648/пр от 09.09.2015 г.</t>
  </si>
  <si>
    <t>5,1</t>
  </si>
  <si>
    <t>6</t>
  </si>
  <si>
    <t>65-35-1</t>
  </si>
  <si>
    <t>Прочистка вентиляционных каналов</t>
  </si>
  <si>
    <t>100 М КАНАЛА</t>
  </si>
  <si>
    <t>ТЕРр-2001 Ленинградской обл. (ред. 2014), 65-35-1, приказ Минстроя России № 648/пр от 09.09.2015 г.</t>
  </si>
  <si>
    <t>Внтуренниие с/техработы:  демонтаж, разборка, промывка</t>
  </si>
  <si>
    <t>рФЕР-65</t>
  </si>
  <si>
    <t>7</t>
  </si>
  <si>
    <t>26-01-041-2</t>
  </si>
  <si>
    <t>Разборка сыпучего утеплителя по перекрытию с полной зачисткой</t>
  </si>
  <si>
    <t>1 м3 изоляции</t>
  </si>
  <si>
    <t>ТЕР-2001 Ленинградской обл. (ред. 2014), 26-01-041-2, приказ Минстроя России № 648/пр от 09.09.2015 г.</t>
  </si>
  <si>
    <t>)*1,25)*0,8</t>
  </si>
  <si>
    <t>)*1,15)*0,8</t>
  </si>
  <si>
    <t>Теплоизоляционные работы</t>
  </si>
  <si>
    <t>ФЕР-26</t>
  </si>
  <si>
    <t>Поправка: МДС 81-35.2004, п.4.7  Поправка: МДС 81-36.2004, п.3.3.1.б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</si>
  <si>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</si>
  <si>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</si>
  <si>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</si>
  <si>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</si>
  <si>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</si>
  <si>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</si>
  <si>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</si>
  <si>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</si>
  <si>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</si>
  <si>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</si>
  <si>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</si>
  <si>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</si>
  <si>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</si>
  <si>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</si>
  <si>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</si>
  <si>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</si>
  <si>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</si>
  <si>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</si>
  <si>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</si>
  <si>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</si>
  <si>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</si>
  <si>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</si>
  <si>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</si>
  <si>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</si>
  <si>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</si>
  <si>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</si>
  <si>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</si>
  <si>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</si>
  <si>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</si>
  <si>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</si>
  <si>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</si>
  <si>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</si>
  <si>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</si>
  <si>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</si>
  <si>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</si>
  <si>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</si>
  <si>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</si>
  <si>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</si>
  <si>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</si>
  <si>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</si>
  <si>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</si>
  <si>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</si>
  <si>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</si>
  <si>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</si>
  <si>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</si>
  <si>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</si>
  <si>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</si>
  <si>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</si>
  <si>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</si>
  <si>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</si>
  <si>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</si>
  <si>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</si>
  <si>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2. Строительные работы</t>
  </si>
  <si>
    <t>Новый подраздел</t>
  </si>
  <si>
    <t>2.1. Крыша и кровля</t>
  </si>
  <si>
    <t>8</t>
  </si>
  <si>
    <t>08-02-001-1</t>
  </si>
  <si>
    <t>Зачеканка отверстии кирпичных вентканалов силикатным кирпичем (Кирпич силикатный 250х120х65)</t>
  </si>
  <si>
    <t>1 м3 кладки</t>
  </si>
  <si>
    <t>ТЕР-2001 Ленинградской обл. (ред. 2014), 08-02-001-1, приказ Минстроя России № 648/пр от 09.09.2015 г.</t>
  </si>
  <si>
    <t>)*1,25)*1,25</t>
  </si>
  <si>
    <t>)*1,15)*1,25</t>
  </si>
  <si>
    <t>Конструкции из кирпича и блоков</t>
  </si>
  <si>
    <t>ФЕР-08</t>
  </si>
  <si>
    <t>Поправка: МДС 81-35.2004, п.4.7  Поправка: МДС 81-35.2004, прил.1, т.3, п.11.2</t>
  </si>
  <si>
    <t>9</t>
  </si>
  <si>
    <t>Устройство стропильных ног и подкосов</t>
  </si>
  <si>
    <t>9,1</t>
  </si>
  <si>
    <t>102-0023</t>
  </si>
  <si>
    <t>Бруски обрезные хвойных пород длиной 4-6,5 м, шириной 75-150 мм, толщиной 40-75 мм, I сорта</t>
  </si>
  <si>
    <t>м3</t>
  </si>
  <si>
    <t>ТССЦ-2001 Ленинградской обл. (ред. 2014), 102-0023, приказ Минстроя России № 648/пр от 09.09.2015 г.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</si>
  <si>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</si>
  <si>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</si>
  <si>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</si>
  <si>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10</t>
  </si>
  <si>
    <t>58-12-1</t>
  </si>
  <si>
    <t>Устройство обрешетки сплошной из досок</t>
  </si>
  <si>
    <t>100 м2</t>
  </si>
  <si>
    <t>ТЕРр-2001 Ленинградской обл. (ред. 2014), 58-12-1, приказ Минстроя России № 648/пр от 09.09.2015 г.</t>
  </si>
  <si>
    <t>10,1</t>
  </si>
  <si>
    <t>102-0190</t>
  </si>
  <si>
    <t>Доски необрезные (береза, липа) длиной 2-3,75 м, все ширины, толщиной 25, 32, 40 мм, II сорта</t>
  </si>
  <si>
    <t>ТССЦ-2001 Ленинградской обл. (ред. 2014), 102-0190, приказ Минстроя России № 648/пр от 09.09.2015 г.</t>
  </si>
  <si>
    <t>10,2</t>
  </si>
  <si>
    <t>102-0073</t>
  </si>
  <si>
    <t>Доски необрезные хвойных пород длиной 4-6,5 м, все ширины, толщиной 25 мм, III сорта</t>
  </si>
  <si>
    <t>ТССЦ-2001 Ленинградской обл. (ред. 2014), 102-0073, приказ Минстроя России № 648/пр от 09.09.2015 г.</t>
  </si>
  <si>
    <t>11</t>
  </si>
  <si>
    <t>12-01-015-3</t>
  </si>
  <si>
    <t>Устройство пароизоляции прокладочной в один слой</t>
  </si>
  <si>
    <t>100 м2 изолируемой поверхности</t>
  </si>
  <si>
    <t>ТЕР-2001 Ленинградской обл. (ред. 2014), 12-01-015-3, приказ Минстроя России № 648/пр от 09.09.2015 г.</t>
  </si>
  <si>
    <t>Кровли</t>
  </si>
  <si>
    <t>ФЕР-12</t>
  </si>
  <si>
    <t>11,1</t>
  </si>
  <si>
    <t>101-7197</t>
  </si>
  <si>
    <t>Паро-гидроизоляция Изостронг D</t>
  </si>
  <si>
    <t>10 м2</t>
  </si>
  <si>
    <t>ТССЦ-2001 Ленинградской обл. (ред. 2014), 101-7197, приказ Минстроя России № 648/пр от 09.09.2015 г.</t>
  </si>
  <si>
    <t>11,2</t>
  </si>
  <si>
    <t>101-0856</t>
  </si>
  <si>
    <t>Рубероид кровельный с пылевидной посыпкой марки РКП-350б</t>
  </si>
  <si>
    <t>м2</t>
  </si>
  <si>
    <t>ТССЦ-2001 Ленинградской обл. (ред. 2014), 101-0856, приказ Минстроя России № 648/пр от 09.09.2015 г.</t>
  </si>
  <si>
    <t>метр кв.</t>
  </si>
  <si>
    <t>12</t>
  </si>
  <si>
    <t>12-01-010-1</t>
  </si>
  <si>
    <t>Устройство мелких покрытий (брандмауэры, парапеты, свесы и т.п.) из листовой оцинкованной стали (воротник дымовой трубы)</t>
  </si>
  <si>
    <t>ТЕР-2001 Ленинградской обл. (ред. 2014), 12-01-010-1, приказ Минстроя России № 648/пр от 09.09.2015 г.</t>
  </si>
  <si>
    <t>13</t>
  </si>
  <si>
    <t>12-01-011-1</t>
  </si>
  <si>
    <t>Устройство колпаков над шахтами</t>
  </si>
  <si>
    <t>1 КОЛПАК</t>
  </si>
  <si>
    <t>ТЕР-2001 Ленинградской обл. (ред. 2014), 12-01-011-1, приказ Минстроя России № 648/пр от 09.09.2015 г.</t>
  </si>
  <si>
    <t>14</t>
  </si>
  <si>
    <t>12-01-020-1</t>
  </si>
  <si>
    <t>Устройство кровель различных типов из металлочерепицы</t>
  </si>
  <si>
    <t>ТЕР-2001 Ленинградской обл. (ред. 2014), 12-01-020-1, приказ Минстроя России № 648/пр от 09.09.2015 г.</t>
  </si>
  <si>
    <t>Поправка: МДС 81-35.2004, п.4.7  Поправка: МДС 81-35.2004, прил.1, т.1, п.4.1</t>
  </si>
  <si>
    <t>14,1</t>
  </si>
  <si>
    <t>прайс</t>
  </si>
  <si>
    <t>Планка конька полукруглого 0,5 Satin с пленкой, длиной 2 м</t>
  </si>
  <si>
    <t>шт.</t>
  </si>
  <si>
    <t>Строка по умолчанию</t>
  </si>
  <si>
    <t>Прочие работы</t>
  </si>
  <si>
    <t>по умолчанию</t>
  </si>
  <si>
    <t>[525 / 1,2]</t>
  </si>
  <si>
    <t>14,2</t>
  </si>
  <si>
    <t>Планка карнизная 100х65 0,5 Satin с пленкой, длиной 2 м</t>
  </si>
  <si>
    <t>[320 / 1,2]</t>
  </si>
  <si>
    <t>14,3</t>
  </si>
  <si>
    <t>Тройник Y конька полукруглого Satin с пленкой</t>
  </si>
  <si>
    <t>м</t>
  </si>
  <si>
    <t>[2 300 / 1,2]</t>
  </si>
  <si>
    <t>15</t>
  </si>
  <si>
    <t>16-04-001-2</t>
  </si>
  <si>
    <t>Прокладка трубопроводов канализации из полиэтиленовых труб высокой плотности диаметром 110 мм</t>
  </si>
  <si>
    <t>100 м трубопровода</t>
  </si>
  <si>
    <t>ТЕР-2001 Ленинградской обл. (ред. 2014), 16-04-001-2, приказ Минстроя России № 648/пр от 09.09.2015 г.</t>
  </si>
  <si>
    <t>Трубопроводы внутренние</t>
  </si>
  <si>
    <t>ФЕР-16</t>
  </si>
  <si>
    <t>15,1</t>
  </si>
  <si>
    <t>509-5778</t>
  </si>
  <si>
    <t>Держатель с защелкой "DKC" для труб диаметром 110 мм</t>
  </si>
  <si>
    <t>100 шт.</t>
  </si>
  <si>
    <t>ТССЦ-2001 Ленинградской обл. (ред. 2014), 509-5778, приказ Минстроя России № 648/пр от 09.09.2015 г.</t>
  </si>
  <si>
    <t>15,2</t>
  </si>
  <si>
    <t>Вентиляционный выход + колпак диаметром 110 мм.</t>
  </si>
  <si>
    <t>гараж</t>
  </si>
  <si>
    <t>[2 200 / 1,2]</t>
  </si>
  <si>
    <t>16</t>
  </si>
  <si>
    <t>10-01-008-5</t>
  </si>
  <si>
    <t>Устройство карнизов</t>
  </si>
  <si>
    <t>100 м2 стен, фронтонов (за вычетом проемов) и развернутых поверхностей карнизов</t>
  </si>
  <si>
    <t>ТЕР-2001 Ленинградской обл. (ред. 2014), 10-01-008-5, приказ Минстроя России № 648/пр от 09.09.2015 г.</t>
  </si>
  <si>
    <t>17</t>
  </si>
  <si>
    <t>12-01-012-1</t>
  </si>
  <si>
    <t>Установка снегодрежателя</t>
  </si>
  <si>
    <t>100 м ограждения</t>
  </si>
  <si>
    <t>ТЕР-2001 Ленинградской обл. (ред. 2014), 12-01-012-1, приказ Минстроя России № 648/пр от 09.09.2015 г.</t>
  </si>
  <si>
    <t>17,1</t>
  </si>
  <si>
    <t>Усиленный решетчетый с 3х сторон снегодержатель</t>
  </si>
  <si>
    <t>[800 / 1,2]</t>
  </si>
  <si>
    <t>17,2</t>
  </si>
  <si>
    <t>101-7317</t>
  </si>
  <si>
    <t>Дополнительные элементы металлочерепичной кровли: планка для снегозадержателя длиной 2000 мм</t>
  </si>
  <si>
    <t>ТССЦ-2001 Ленинградской обл. (ред. 2014), 101-7317, приказ Минстроя России № 648/пр от 09.09.2015 г.</t>
  </si>
  <si>
    <t>17,3</t>
  </si>
  <si>
    <t>201-0777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</si>
  <si>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</si>
  <si>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ТССЦ-2001 Ленинградской обл. (ред. 2014), 201-0777, приказ Минстроя России № 648/пр от 09.09.2015 г.</t>
  </si>
  <si>
    <t>18</t>
  </si>
  <si>
    <t>20-02-002-1</t>
  </si>
  <si>
    <t>Установка решеток жалюзийных площадью в свету до 0,5 м2</t>
  </si>
  <si>
    <t>1 решетка</t>
  </si>
  <si>
    <t>ТЕР-2001 Ленинградской обл. (ред. 2014), 20-02-002-1, приказ Минстроя России № 648/пр от 09.09.2015 г.</t>
  </si>
  <si>
    <t>Вентиляция и кондиционирование</t>
  </si>
  <si>
    <t>ФЕР-20</t>
  </si>
  <si>
    <t>18,1</t>
  </si>
  <si>
    <t>AIRO-FK (N90) жалюзийная решетка с горизонтальными ламелями против осадков</t>
  </si>
  <si>
    <t>Материал по прайсу</t>
  </si>
  <si>
    <t>материалы (03)</t>
  </si>
  <si>
    <t>[1 020 / 1,2 /  6,38]</t>
  </si>
  <si>
    <t>Итог1</t>
  </si>
  <si>
    <t>Компенсация НДС при УСН (МАТ+(ЭМ-ЗПМ)+НР*0,1712+СП*0,15)*0,18</t>
  </si>
  <si>
    <t>Итог2</t>
  </si>
  <si>
    <t>Всего с компенсацией по НДС</t>
  </si>
  <si>
    <t>2.2.  Перекрытие</t>
  </si>
  <si>
    <t>19</t>
  </si>
  <si>
    <t>26-01-055-1</t>
  </si>
  <si>
    <t>Установка пароизоляционного слоя из пленки полиэтиленовой (ТехноНиколь)</t>
  </si>
  <si>
    <t>100 м2 поверхности покрытия изоляции</t>
  </si>
  <si>
    <t>ТЕР-2001 Ленинградской обл. (ред. 2014), 26-01-055-1, приказ Минстроя России № 648/пр от 09.09.2015 г.</t>
  </si>
  <si>
    <t>20</t>
  </si>
  <si>
    <t>10-01-010-1</t>
  </si>
  <si>
    <t>Установка элементов каркаса из брусьев</t>
  </si>
  <si>
    <t>ТЕР-2001 Ленинградской обл. (ред. 2014), 10-01-010-1, приказ Минстроя России № 648/пр от 09.09.2015 г.</t>
  </si>
  <si>
    <t>20,1</t>
  </si>
  <si>
    <t>102-0028</t>
  </si>
  <si>
    <t>Бруски обрезные хвойных пород длиной 4-6,5 м, шириной 75-150 мм, толщиной 100, 125 мм, II сорта</t>
  </si>
  <si>
    <t>ТССЦ-2001 Ленинградской обл. (ред. 2014), 102-0028, приказ Минстроя России № 648/пр от 09.09.2015 г.</t>
  </si>
  <si>
    <t>20,2</t>
  </si>
  <si>
    <t>21</t>
  </si>
  <si>
    <t>11-01-009-1</t>
  </si>
  <si>
    <t>Устройство тепло- и звукоизоляции сплошной из плит или матов минераловатных или стекловолокнистых</t>
  </si>
  <si>
    <t>ТЕР-2001 Ленинградской обл. (ред. 2014), 11-01-009-1, приказ Минстроя России № 648/пр от 09.09.2015 г.</t>
  </si>
  <si>
    <t>Полы</t>
  </si>
  <si>
    <t>ФЕР-11</t>
  </si>
  <si>
    <t>21,1</t>
  </si>
  <si>
    <t>104-0013</t>
  </si>
  <si>
    <t>Маты прошивные из минеральной ваты без обкладок М-125 (ГОСТ 21880-86), толщина 40 мм</t>
  </si>
  <si>
    <t>ТССЦ-2001 Ленинградской обл. (ред. 2014), 104-0013, приказ Минстроя России № 648/пр от 09.09.2015 г.</t>
  </si>
  <si>
    <t>21,2</t>
  </si>
  <si>
    <t>Утеплитель Технолайт Экстра 1200х600х100 мм</t>
  </si>
  <si>
    <t>[220 / 1,2]</t>
  </si>
  <si>
    <t>22</t>
  </si>
  <si>
    <t>11-01-033-1</t>
  </si>
  <si>
    <t>Устройство покрытий дощатых толщиной 25 мм</t>
  </si>
  <si>
    <t>ТЕР-2001 Ленинградской обл. (ред. 2014), 11-01-033-1, приказ Минстроя России № 648/пр от 09.09.2015 г.</t>
  </si>
  <si>
    <t>2.3. Устройство наружней водосточной системы</t>
  </si>
  <si>
    <t>23</t>
  </si>
  <si>
    <t>12-01-009-2</t>
  </si>
  <si>
    <t>Устройство желобов подвесных  (труба водосточная, желоб)</t>
  </si>
  <si>
    <t>100 М ЖЕЛОБОВ</t>
  </si>
  <si>
    <t>ТЕР-2001 Ленинградской обл. (ред. 2014), 12-01-009-2, приказ Минстроя России № 648/пр от 09.09.2015 г.</t>
  </si>
  <si>
    <t>23,1</t>
  </si>
  <si>
    <t>Труба водосточная</t>
  </si>
  <si>
    <t>[790 / 1,2 /  6,38]</t>
  </si>
  <si>
    <t>23,2</t>
  </si>
  <si>
    <t>Желоб водосточный</t>
  </si>
  <si>
    <t>[670 / 1,2 /  6,38]</t>
  </si>
  <si>
    <t>23,3</t>
  </si>
  <si>
    <t>Внутренние углы желоба (соединительные детали углов желоба)</t>
  </si>
  <si>
    <t>[330 / 1,2 /  6,38]</t>
  </si>
  <si>
    <t>23,4</t>
  </si>
  <si>
    <t>Внешние углы желоба (соединительные детали углов желоба)</t>
  </si>
  <si>
    <t>23,5</t>
  </si>
  <si>
    <t>Хомуты трубы</t>
  </si>
  <si>
    <t>[250 / 1,2 /  6,38]</t>
  </si>
  <si>
    <t>23,6</t>
  </si>
  <si>
    <t>Кронштейны желоба</t>
  </si>
  <si>
    <t>[110 / 1,2 /  6,38]</t>
  </si>
  <si>
    <t>23,7</t>
  </si>
  <si>
    <t>Угол трубы, 45 гр.</t>
  </si>
  <si>
    <t>[680 / 1,2 /  6,38]</t>
  </si>
  <si>
    <t>23,8</t>
  </si>
  <si>
    <t>Заглушка</t>
  </si>
  <si>
    <t>23,9</t>
  </si>
  <si>
    <t>Слив трубы (наконечник)</t>
  </si>
  <si>
    <t>[290 / 1,2 /  6,38]</t>
  </si>
  <si>
    <t>23,10</t>
  </si>
  <si>
    <t>Соединительная муфта желоба</t>
  </si>
  <si>
    <t>[160 / 1,2 /  6,38]</t>
  </si>
  <si>
    <t>23,11</t>
  </si>
  <si>
    <t>Муфта желоба</t>
  </si>
  <si>
    <t>23,12</t>
  </si>
  <si>
    <t>Кронштейн трубы</t>
  </si>
  <si>
    <t>23,13</t>
  </si>
  <si>
    <t>Муфта трубы</t>
  </si>
  <si>
    <t>23,14</t>
  </si>
  <si>
    <t>Отбойник водостока</t>
  </si>
  <si>
    <t>[300 / 1,2 /  6,38]</t>
  </si>
  <si>
    <t>23,15</t>
  </si>
  <si>
    <t>101-1875</t>
  </si>
  <si>
    <t>Сталь листовая оцинкованная толщиной листа 0,7 мм</t>
  </si>
  <si>
    <t>ТССЦ-2001 Ленинградской обл. (ред. 2014), 101-1875, приказ Минстроя России № 648/пр от 09.09.2015 г.</t>
  </si>
  <si>
    <t>24</t>
  </si>
  <si>
    <t>16-07-002-1</t>
  </si>
  <si>
    <t>Установка воронок водосточных</t>
  </si>
  <si>
    <t>1 воронка</t>
  </si>
  <si>
    <t>ТЕР-2001 Ленинградской обл. (ред. 2014), 16-07-002-1, приказ Минстроя России № 648/пр от 09.09.2015 г.</t>
  </si>
  <si>
    <t>24,1</t>
  </si>
  <si>
    <t>Воронка водосточная</t>
  </si>
  <si>
    <t>[665 / 1,2 /  6,38]</t>
  </si>
  <si>
    <t>24,2</t>
  </si>
  <si>
    <t>301-3302</t>
  </si>
  <si>
    <t>Воронка водосточная диаметром 100 мм</t>
  </si>
  <si>
    <t>ТССЦ-2001 Ленинградской обл. (ред. 2014), 301-3302, приказ Минстроя России № 648/пр от 09.09.2015 г.</t>
  </si>
  <si>
    <t>25</t>
  </si>
  <si>
    <t>20-01-001-10</t>
  </si>
  <si>
    <t>Прокладка воздуховодов из листовой, оцинкованной стали и алюминия класса Н (нормальные) толщиной 0,7 мм, периметром от 1100 до 1600 мм</t>
  </si>
  <si>
    <t>100 м2 поверхности воздуховодов</t>
  </si>
  <si>
    <t>ТЕР-2001 Ленинградской обл. (ред. 2014), 20-01-001-10, приказ Минстроя России № 648/пр от 09.09.2015 г.</t>
  </si>
  <si>
    <t>25,1</t>
  </si>
  <si>
    <t>301-1779</t>
  </si>
  <si>
    <t>Воздуховоды из листовой стали толщиной 0,7 мм, периметром от 1100 до 1600 мм</t>
  </si>
  <si>
    <t>ТССЦ-2001 Ленинградской обл. (ред. 2014), 301-1779, приказ Минстроя России № 648/пр от 09.09.2015 г.</t>
  </si>
  <si>
    <t>26</t>
  </si>
  <si>
    <t>20-02-010-2</t>
  </si>
  <si>
    <t>Установка зонтов над шахтами из листовой стали прямоугольного сечения периметром 1300 мм</t>
  </si>
  <si>
    <t>1 зонт</t>
  </si>
  <si>
    <t>ТЕР-2001 Ленинградской обл. (ред. 2014), 20-02-010-2, приказ Минстроя России № 648/пр от 09.09.2015 г.</t>
  </si>
  <si>
    <t>26,1</t>
  </si>
  <si>
    <t>301-0849</t>
  </si>
  <si>
    <t>Зонты вентиляционных систем из листовой оцинкованной стали, прямоугольные, периметром шахты 1200 мм</t>
  </si>
  <si>
    <t>ТССЦ-2001 Ленинградской обл. (ред. 2014), 301-0849, приказ Минстроя России № 648/пр от 09.09.2015 г.</t>
  </si>
  <si>
    <t>3. Погрузка и вывоз мусора</t>
  </si>
  <si>
    <t>27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</si>
  <si>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</si>
  <si>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</si>
  <si>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</si>
  <si>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ТССЦпг-2001 Ленинградской обл. (ред. 2014), т01-01-001-41, приказ Минстроя России № 648/пр от 09.09.2015 г.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</si>
  <si>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</si>
  <si>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</si>
  <si>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</si>
  <si>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28</t>
  </si>
  <si>
    <t>т03-01-01-025</t>
  </si>
  <si>
    <t>Перевозка грузов I класса автомобилями бортовыми грузоподъемностью до 15 т на расстояние до 25 км</t>
  </si>
  <si>
    <t>ТССЦпг-2001 Ленинградской обл. (ред. 2014), т03-01-001-25, приказ Минстроя России № 648/пр от 09.09.2015 г.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</si>
  <si>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</si>
  <si>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</si>
  <si>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</si>
  <si>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</si>
  <si>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</si>
  <si>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</si>
  <si>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</si>
  <si>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</si>
  <si>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</si>
  <si>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</si>
  <si>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</si>
  <si>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</si>
  <si>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</si>
  <si>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</si>
  <si>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</si>
  <si>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</si>
  <si>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</si>
  <si>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</si>
  <si>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</si>
  <si>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</si>
  <si>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</si>
  <si>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</si>
  <si>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</si>
  <si>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</si>
  <si>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</si>
  <si>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</si>
  <si>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</si>
  <si>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</si>
  <si>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</si>
  <si>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</si>
  <si>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</si>
  <si>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</si>
  <si>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</si>
  <si>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</si>
  <si>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</si>
  <si>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</si>
  <si>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</si>
  <si>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</si>
  <si>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</si>
  <si>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</si>
  <si>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</si>
  <si>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</si>
  <si>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</si>
  <si>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</si>
  <si>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</si>
  <si>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</si>
  <si>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</si>
  <si>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</si>
  <si>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</si>
  <si>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</si>
  <si>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</si>
  <si>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</si>
  <si>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</si>
  <si>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</si>
  <si>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</si>
  <si>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</si>
  <si>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</si>
  <si>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</si>
  <si>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</si>
  <si>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</si>
  <si>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</si>
  <si>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</si>
  <si>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</si>
  <si>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</si>
  <si>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</si>
  <si>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</si>
  <si>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</si>
  <si>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</si>
  <si>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Текущий уровень цен</t>
  </si>
  <si>
    <t>Сборник индексов</t>
  </si>
  <si>
    <t>_OBSM_</t>
  </si>
  <si>
    <t>1-1020-47</t>
  </si>
  <si>
    <t>Рабочий строитель среднего разряда 2</t>
  </si>
  <si>
    <t>чел.-ч</t>
  </si>
  <si>
    <t>030403</t>
  </si>
  <si>
    <t>ТСЭМ-2001 Ленинградской обл. (ред. 2014), 030403, приказ Минстроя России № 648/пр от 09.09.2015 г.</t>
  </si>
  <si>
    <t>Лебедки электрические тяговым усилием 19,62 кН (2 т)</t>
  </si>
  <si>
    <t>маш.-ч</t>
  </si>
  <si>
    <t>1-1022-47</t>
  </si>
  <si>
    <t>Рабочий строитель среднего разряда 2,2</t>
  </si>
  <si>
    <t>Затраты труда машинистов</t>
  </si>
  <si>
    <t>чел.час</t>
  </si>
  <si>
    <t>020129</t>
  </si>
  <si>
    <t>ТСЭМ-2001 Ленинградской обл. (ред. 2014), 020129, приказ Минстроя России № 648/пр от 09.09.2015 г.</t>
  </si>
  <si>
    <t>Краны башенные при работе на других видах строительства 8 т</t>
  </si>
  <si>
    <t>1-1030-47</t>
  </si>
  <si>
    <t>Рабочий строитель среднего разряда 3</t>
  </si>
  <si>
    <t>021141</t>
  </si>
  <si>
    <t>ТСЭМ-2001 Ленинградской обл. (ред. 2014), 021141, приказ Минстроя России № 648/пр от 09.09.2015 г.</t>
  </si>
  <si>
    <t>Краны на автомобильном ходу при работе на других видах строительства 10 т</t>
  </si>
  <si>
    <t>400001</t>
  </si>
  <si>
    <t>ТСЭМ-2001 Ленинградской обл. (ред. 2014), 400001, приказ Минстроя России № 648/пр от 09.09.2015 г.</t>
  </si>
  <si>
    <t>Автомобили бортовые, грузоподъемность до 5 т</t>
  </si>
  <si>
    <t>101-0797</t>
  </si>
  <si>
    <t>ТССЦ-2001 Ленинградской обл. (ред. 2014), 101-0797, приказ Минстроя России № 648/пр от 09.09.2015 г.</t>
  </si>
  <si>
    <t>Проволока горячекатаная в мотках, диаметром 6,3-6,5 мм</t>
  </si>
  <si>
    <t>101-1742</t>
  </si>
  <si>
    <t>ТССЦ-2001 Ленинградской обл. (ред. 2014), 101-1742, приказ Минстроя России № 648/пр от 09.09.2015 г.</t>
  </si>
  <si>
    <t>Толь с крупнозернистой посыпкой гидроизоляционный марки ТГ-350</t>
  </si>
  <si>
    <t>101-1805</t>
  </si>
  <si>
    <t>ТССЦ-2001 Ленинградской обл. (ред. 2014), 101-1805, приказ Минстроя России № 648/пр от 09.09.2015 г.</t>
  </si>
  <si>
    <t>Гвозди строительные</t>
  </si>
  <si>
    <t>113-1777</t>
  </si>
  <si>
    <t>ТССЦ-2001 Ленинградской обл. (ред. 2014), 113-1777, приказ Минстроя России № 648/пр от 09.09.2015 г.</t>
  </si>
  <si>
    <t>Паста антисептическая</t>
  </si>
  <si>
    <t>030401</t>
  </si>
  <si>
    <t>ТСЭМ-2001 Ленинградской обл. (ред. 2014), 030401, приказ Минстроя России № 648/пр от 09.09.2015 г.</t>
  </si>
  <si>
    <t>Лебедки электрические тяговым усилием до 5,79 кН (0,59 т)</t>
  </si>
  <si>
    <t>030954</t>
  </si>
  <si>
    <t>ТСЭМ-2001 Ленинградской обл. (ред. 2014), 030954, приказ Минстроя России № 648/пр от 09.09.2015 г.</t>
  </si>
  <si>
    <t>Подъемники грузоподъемностью до 500 кг одномачтовые, высота подъема 45 м</t>
  </si>
  <si>
    <t>405-0219</t>
  </si>
  <si>
    <t>ТССЦ-2001 Ленинградской обл. (ред. 2014), 405-0219, приказ Минстроя России № 648/пр от 09.09.2015 г.</t>
  </si>
  <si>
    <t>Гипсовые вяжущие, марка Г3</t>
  </si>
  <si>
    <t>411-0001</t>
  </si>
  <si>
    <t>ТССЦ-2001 Ленинградской обл. (ред. 2014), 411-0001, приказ Минстроя России № 648/пр от 09.09.2015 г.</t>
  </si>
  <si>
    <t>Вода</t>
  </si>
  <si>
    <t>1-1038-47</t>
  </si>
  <si>
    <t>Рабочий строитель среднего разряда 3,8</t>
  </si>
  <si>
    <t>121011</t>
  </si>
  <si>
    <t>ТСЭМ-2001 Ленинградской обл. (ред. 2014), 121011, приказ Минстроя России № 648/пр от 09.09.2015 г.</t>
  </si>
  <si>
    <t>Котлы битумные передвижные 400 л</t>
  </si>
  <si>
    <t>101-0079</t>
  </si>
  <si>
    <t>ТССЦ-2001 Ленинградской обл. (ред. 2014), 101-0079, приказ Минстроя России № 648/пр от 09.09.2015 г.</t>
  </si>
  <si>
    <t>Битумы нефтяные строительные для кровельных мастик марки БНМ-55/60</t>
  </si>
  <si>
    <t>104-0103</t>
  </si>
  <si>
    <t>ТССЦ-2001 Ленинградской обл. (ред. 2014), 104-0103, приказ Минстроя России № 648/пр от 09.09.2015 г.</t>
  </si>
  <si>
    <t>Плиты из пенопласта полистирольного ПСБС-40</t>
  </si>
  <si>
    <t>1-1027-47</t>
  </si>
  <si>
    <t>Рабочий строитель среднего разряда 2,7</t>
  </si>
  <si>
    <t>*1,15)*1,25</t>
  </si>
  <si>
    <t>*1,25)*1,25</t>
  </si>
  <si>
    <t>102-0026</t>
  </si>
  <si>
    <t>ТССЦ-2001 Ленинградской обл. (ред. 2014), 102-0026, приказ Минстроя России № 648/пр от 09.09.2015 г.</t>
  </si>
  <si>
    <t>Бруски обрезные хвойных пород длиной 4-6,5 м, шириной 75-150 мм, толщиной 40-75 мм, IV сорта</t>
  </si>
  <si>
    <t>402-0012</t>
  </si>
  <si>
    <t>ТССЦ-2001 Ленинградской обл. (ред. 2014), 402-0012, приказ Минстроя России № 648/пр от 09.09.2015 г.</t>
  </si>
  <si>
    <t>Раствор готовый кладочный цементно-известковый марки 25</t>
  </si>
  <si>
    <t>404-0005</t>
  </si>
  <si>
    <t>ТССЦ-2001 Ленинградской обл. (ред. 2014), 404-0005, приказ Минстроя России № 648/пр от 09.09.2015 г.</t>
  </si>
  <si>
    <t>Кирпич керамический одинарный, размером 250х120х65 мм, марка 100</t>
  </si>
  <si>
    <t>1000 шт.</t>
  </si>
  <si>
    <t>1-1032-47</t>
  </si>
  <si>
    <t>Рабочий строитель среднего разряда 3,2</t>
  </si>
  <si>
    <t>101-0594</t>
  </si>
  <si>
    <t>ТССЦ-2001 Ленинградской обл. (ред. 2014), 101-0594, приказ Минстроя России № 648/пр от 09.09.2015 г.</t>
  </si>
  <si>
    <t>Мастика битумная кровельная горячая</t>
  </si>
  <si>
    <t>101-0195</t>
  </si>
  <si>
    <t>ТССЦ-2001 Ленинградской обл. (ред. 2014), 101-0195, приказ Минстроя России № 648/пр от 09.09.2015 г.</t>
  </si>
  <si>
    <t>Гвозди толевые круглые 3,0х40 мм</t>
  </si>
  <si>
    <t>101-0795</t>
  </si>
  <si>
    <t>ТССЦ-2001 Ленинградской обл. (ред. 2014), 101-0795, приказ Минстроя России № 648/пр от 09.09.2015 г.</t>
  </si>
  <si>
    <t>Проволока канатная оцинкованная, диаметром 3 мм</t>
  </si>
  <si>
    <t>101-0173</t>
  </si>
  <si>
    <t>ТССЦ-2001 Ленинградской обл. (ред. 2014), 101-0173, приказ Минстроя России № 648/пр от 09.09.2015 г.</t>
  </si>
  <si>
    <t>Гвозди проволочные оцинкованные для асбестоцементной кровли 4,5х120 мм</t>
  </si>
  <si>
    <t>330206</t>
  </si>
  <si>
    <t>ТСЭМ-2001 Ленинградской обл. (ред. 2014), 330206, приказ Минстроя России № 648/пр от 09.09.2015 г.</t>
  </si>
  <si>
    <t>Дрели электрические</t>
  </si>
  <si>
    <t>330901</t>
  </si>
  <si>
    <t>ТСЭМ-2001 Ленинградской обл. (ред. 2014), 330901, приказ Минстроя России № 648/пр от 09.09.2015 г.</t>
  </si>
  <si>
    <t>Ножницы электрические</t>
  </si>
  <si>
    <t>331531</t>
  </si>
  <si>
    <t>ТСЭМ-2001 Ленинградской обл. (ред. 2014), 331531, приказ Минстроя России № 648/пр от 09.09.2015 г.</t>
  </si>
  <si>
    <t>Пила дисковая электрическая</t>
  </si>
  <si>
    <t>101-0171</t>
  </si>
  <si>
    <t>ТССЦ-2001 Ленинградской обл. (ред. 2014), 101-0171, приказ Минстроя России № 648/пр от 09.09.2015 г.</t>
  </si>
  <si>
    <t>Гвозди проволочные оцинкованные для асбестоцементной кровли 4,0х100 мм</t>
  </si>
  <si>
    <t>101-0414</t>
  </si>
  <si>
    <t>ТССЦ-2001 Ленинградской обл. (ред. 2014), 101-0414, приказ Минстроя России № 648/пр от 09.09.2015 г.</t>
  </si>
  <si>
    <t>Краска для наружных работ защитная, марки МА-015</t>
  </si>
  <si>
    <t>101-1750</t>
  </si>
  <si>
    <t>ТССЦ-2001 Ленинградской обл. (ред. 2014), 101-1750, приказ Минстроя России № 648/пр от 09.09.2015 г.</t>
  </si>
  <si>
    <t>Шурупы-саморезы коньковые оцинкованные 4,8х80 мм</t>
  </si>
  <si>
    <t>101-1751</t>
  </si>
  <si>
    <t>ТССЦ-2001 Ленинградской обл. (ред. 2014), 101-1751, приказ Минстроя России № 648/пр от 09.09.2015 г.</t>
  </si>
  <si>
    <t>Шурупы-саморезы с шести-восьмигранной головкой 4,5х25(35) мм и специальной уплотнительной прокладкой (шайбой) из ЭПДМ</t>
  </si>
  <si>
    <t>10 шт.</t>
  </si>
  <si>
    <t>101-1758</t>
  </si>
  <si>
    <t>ТССЦ-2001 Ленинградской обл. (ред. 2014), 101-1758, приказ Минстроя России № 648/пр от 09.09.2015 г.</t>
  </si>
  <si>
    <t>Винты самонарезающие 4,5х19 мм</t>
  </si>
  <si>
    <t>101-1759</t>
  </si>
  <si>
    <t>ТССЦ-2001 Ленинградской обл. (ред. 2014), 101-1759, приказ Минстроя России № 648/пр от 09.09.2015 г.</t>
  </si>
  <si>
    <t>Герметик силиконовый для наружных швов</t>
  </si>
  <si>
    <t>л</t>
  </si>
  <si>
    <t>101-1770</t>
  </si>
  <si>
    <t>ТССЦ-2001 Ленинградской обл. (ред. 2014), 101-1770, приказ Минстроя России № 648/пр от 09.09.2015 г.</t>
  </si>
  <si>
    <t>Толь с крупнозернистой посыпкой марки ТВК-350</t>
  </si>
  <si>
    <t>101-4134</t>
  </si>
  <si>
    <t>ТССЦ-2001 Ленинградской обл. (ред. 2014), 101-4134, приказ Минстроя России № 648/пр от 09.09.2015 г.</t>
  </si>
  <si>
    <t>Пленка подкровельная антиконденсатная (гидроизоляционная) типа ЮТАКОН</t>
  </si>
  <si>
    <t>101-4136</t>
  </si>
  <si>
    <t>ТССЦ-2001 Ленинградской обл. (ред. 2014), 101-4136, приказ Минстроя России № 648/пр от 09.09.2015 г.</t>
  </si>
  <si>
    <t>Металлочерепица «Монтеррей»</t>
  </si>
  <si>
    <t>102-0289</t>
  </si>
  <si>
    <t>ТССЦ-2001 Ленинградской обл. (ред. 2014), 102-0289, приказ Минстроя России № 648/пр от 09.09.2015 г.</t>
  </si>
  <si>
    <t>Доски антисептированные обрезные длиной 4-6,5 м, шириной 75-150 мм, толщиной 32-40 мм II сорта</t>
  </si>
  <si>
    <t>102-0291</t>
  </si>
  <si>
    <t>ТССЦ-2001 Ленинградской обл. (ред. 2014), 102-0291, приказ Минстроя России № 648/пр от 09.09.2015 г.</t>
  </si>
  <si>
    <t>Бруски деревянные пропитанные длиной 1 м и более, шириной 40-75 мм, толщиной 22-32 мм, I сорта</t>
  </si>
  <si>
    <t>104-0002</t>
  </si>
  <si>
    <t>ТССЦ-2001 Ленинградской обл. (ред. 2014), 104-0002, приказ Минстроя России № 648/пр от 09.09.2015 г.</t>
  </si>
  <si>
    <t>Вата минеральная</t>
  </si>
  <si>
    <t>1-1042-47</t>
  </si>
  <si>
    <t>Рабочий строитель среднего разряда 4,2</t>
  </si>
  <si>
    <t>101-2449</t>
  </si>
  <si>
    <t>ТССЦ-2001 Ленинградской обл. (ред. 2014), 101-2449, приказ Минстроя России № 648/пр от 09.09.2015 г.</t>
  </si>
  <si>
    <t>Кольца резиновые для чугунных напорных труб диаметром 50-300 мм</t>
  </si>
  <si>
    <t>кг</t>
  </si>
  <si>
    <t>101-2576</t>
  </si>
  <si>
    <t>ТССЦ-2001 Ленинградской обл. (ред. 2014), 101-2576, приказ Минстроя России № 648/пр от 09.09.2015 г.</t>
  </si>
  <si>
    <t>Болты с гайками и шайбами для санитарно-технических работ диаметром 16 мм</t>
  </si>
  <si>
    <t>302-3340</t>
  </si>
  <si>
    <t>ТССЦ-2001 Ленинградской обл. (ред. 2014), 302-3340, приказ Минстроя России № 648/пр от 09.09.2015 г.</t>
  </si>
  <si>
    <t>Трубопроводы канализации из полиэтиленовых труб высокой плотности с гильзами, диаметром 110 мм</t>
  </si>
  <si>
    <t>102-0048</t>
  </si>
  <si>
    <t>ТССЦ-2001 Ленинградской обл. (ред. 2014), 102-0048, приказ Минстроя России № 648/пр от 09.09.2015 г.</t>
  </si>
  <si>
    <t>Доски обрезные хвойных пород длиной 4-6,5 м, шириной 75-150, мм толщиной 19-22 мм, II сорта</t>
  </si>
  <si>
    <t>102-0060</t>
  </si>
  <si>
    <t>ТССЦ-2001 Ленинградской обл. (ред. 2014), 102-0060, приказ Минстроя России № 648/пр от 09.09.2015 г.</t>
  </si>
  <si>
    <t>Доски обрезные хвойных пород длиной 4-6,5 м, шириной 75-150 мм, толщиной 44 мм и более, II сорта</t>
  </si>
  <si>
    <t>203-0367</t>
  </si>
  <si>
    <t>ТССЦ-2001 Ленинградской обл. (ред. 2014), 203-0367, приказ Минстроя России № 648/пр от 09.09.2015 г.</t>
  </si>
  <si>
    <t>Обшивка наружная и внутренняя из древесины тип 0-1; 0-2; 0-3 толщиной 13 мм, шириной без гребня от 70 до 90 мм</t>
  </si>
  <si>
    <t>1-1033-47</t>
  </si>
  <si>
    <t>Рабочий строитель среднего разряда 3,3</t>
  </si>
  <si>
    <t>040502</t>
  </si>
  <si>
    <t>ТСЭМ-2001 Ленинградской обл. (ред. 2014), 040502, приказ Минстроя России № 648/пр от 09.09.2015 г.</t>
  </si>
  <si>
    <t>Установки для сварки ручной дуговой (постоянного тока)</t>
  </si>
  <si>
    <t>101-1529</t>
  </si>
  <si>
    <t>ТССЦ-2001 Ленинградской обл. (ред. 2014), 101-1529, приказ Минстроя России № 648/пр от 09.09.2015 г.</t>
  </si>
  <si>
    <t>Электроды диаметром 6 мм Э42</t>
  </si>
  <si>
    <t>101-1851</t>
  </si>
  <si>
    <t>ТССЦ-2001 Ленинградской обл. (ред. 2014), 101-1851, приказ Минстроя России № 648/пр от 09.09.2015 г.</t>
  </si>
  <si>
    <t>Резина прессованная</t>
  </si>
  <si>
    <t>1-1034-47</t>
  </si>
  <si>
    <t>Рабочий строитель среднего разряда 3,4</t>
  </si>
  <si>
    <t>101-1522</t>
  </si>
  <si>
    <t>ТССЦ-2001 Ленинградской обл. (ред. 2014), 101-1522, приказ Минстроя России № 648/пр от 09.09.2015 г.</t>
  </si>
  <si>
    <t>Электроды диаметром 5 мм Э42А</t>
  </si>
  <si>
    <t>204-0004</t>
  </si>
  <si>
    <t>ТССЦ-2001 Ленинградской обл. (ред. 2014), 204-0004, приказ Минстроя России № 648/пр от 09.09.2015 г.</t>
  </si>
  <si>
    <t>Горячекатаная арматурная сталь гладкая класса А-I, диаметром 12 мм</t>
  </si>
  <si>
    <t>402-0004</t>
  </si>
  <si>
    <t>ТССЦ-2001 Ленинградской обл. (ред. 2014), 402-0004, приказ Минстроя России № 648/пр от 09.09.2015 г.</t>
  </si>
  <si>
    <t>Раствор готовый кладочный цементный марки 100</t>
  </si>
  <si>
    <t>101-2101</t>
  </si>
  <si>
    <t>ТССЦ-2001 Ленинградской обл. (ред. 2014), 101-2101, приказ Минстроя России № 648/пр от 09.09.2015 г.</t>
  </si>
  <si>
    <t>Полотно иглопробивное стекловолокнистое ИПС-Т-5</t>
  </si>
  <si>
    <t>101-3594</t>
  </si>
  <si>
    <t>ТССЦ-2001 Ленинградской обл. (ред. 2014), 101-3594, приказ Минстроя России № 648/пр от 09.09.2015 г.</t>
  </si>
  <si>
    <t>Лента полиэтиленовая с липким слоем А50</t>
  </si>
  <si>
    <t>113-0307</t>
  </si>
  <si>
    <t>ТССЦ-2001 Ленинградской обл. (ред. 2014), 113-0307, приказ Минстроя России № 648/пр от 09.09.2015 г.</t>
  </si>
  <si>
    <t>Пленка полиэтиленовая толщиной 0,2-0,5 мм</t>
  </si>
  <si>
    <t>1-1028-47</t>
  </si>
  <si>
    <t>Рабочий строитель среднего разряда 2,8</t>
  </si>
  <si>
    <t>331601</t>
  </si>
  <si>
    <t>ТСЭМ-2001 Ленинградской обл. (ред. 2014), 331601, приказ Минстроя России № 648/пр от 09.09.2015 г.</t>
  </si>
  <si>
    <t>Пила с карбюраторным двигателем</t>
  </si>
  <si>
    <t>101-0783</t>
  </si>
  <si>
    <t>ТССЦ-2001 Ленинградской обл. (ред. 2014), 101-0783, приказ Минстроя России № 648/пр от 09.09.2015 г.</t>
  </si>
  <si>
    <t>Поковки из квадратных заготовок, масса 2,825 кг</t>
  </si>
  <si>
    <t>101-1591</t>
  </si>
  <si>
    <t>ТССЦ-2001 Ленинградской обл. (ред. 2014), 101-1591, приказ Минстроя России № 648/пр от 09.09.2015 г.</t>
  </si>
  <si>
    <t>Смола каменноугольная для дорожного строительства</t>
  </si>
  <si>
    <t>101-1714</t>
  </si>
  <si>
    <t>ТССЦ-2001 Ленинградской обл. (ред. 2014), 101-1714, приказ Минстроя России № 648/пр от 09.09.2015 г.</t>
  </si>
  <si>
    <t>Болты с гайками и шайбами строительные</t>
  </si>
  <si>
    <t>102-0077</t>
  </si>
  <si>
    <t>ТССЦ-2001 Ленинградской обл. (ред. 2014), 102-0077, приказ Минстроя России № 648/пр от 09.09.2015 г.</t>
  </si>
  <si>
    <t>Доски необрезные хвойных пород длиной 4-6,5 м, все ширины, толщиной 32-40 мм, III сорта</t>
  </si>
  <si>
    <t>340311</t>
  </si>
  <si>
    <t>ТСЭМ-2001 Ленинградской обл. (ред. 2014), 340311, приказ Минстроя России № 648/пр от 09.09.2015 г.</t>
  </si>
  <si>
    <t>Машина для острожки деревянных полов</t>
  </si>
  <si>
    <t>203-0344</t>
  </si>
  <si>
    <t>ТССЦ-2001 Ленинградской обл. (ред. 2014), 203-0344, приказ Минстроя России № 648/пр от 09.09.2015 г.</t>
  </si>
  <si>
    <t>Доски для покрытия полов со шпунтом и гребнем из древесины антисептированные тип ДП-27 толщиной 27 мм, шириной без гребня от 100 до 140 мм</t>
  </si>
  <si>
    <t>101-0788</t>
  </si>
  <si>
    <t>ТССЦ-2001 Ленинградской обл. (ред. 2014), 101-0788, приказ Минстроя России № 648/пр от 09.09.2015 г.</t>
  </si>
  <si>
    <t>Поковки оцинкованные, масса 2,825 кг</t>
  </si>
  <si>
    <t>1-1041-47</t>
  </si>
  <si>
    <t>Рабочий строитель среднего разряда 4,1</t>
  </si>
  <si>
    <t>101-0311</t>
  </si>
  <si>
    <t>ТССЦ-2001 Ленинградской обл. (ред. 2014), 101-0311, приказ Минстроя России № 648/пр от 09.09.2015 г.</t>
  </si>
  <si>
    <t>Каболка</t>
  </si>
  <si>
    <t>101-1355</t>
  </si>
  <si>
    <t>ТССЦ-2001 Ленинградской обл. (ред. 2014), 101-1355, приказ Минстроя России № 648/пр от 09.09.2015 г.</t>
  </si>
  <si>
    <t>Цемент гипсоглиноземистый расширяющийся</t>
  </si>
  <si>
    <t>101-0605</t>
  </si>
  <si>
    <t>ТССЦ-2001 Ленинградской обл. (ред. 2014), 101-0605, приказ Минстроя России № 648/пр от 09.09.2015 г.</t>
  </si>
  <si>
    <t>Мастика герметизирующая нетвердеющая «Гэлан»</t>
  </si>
  <si>
    <t>101-1703</t>
  </si>
  <si>
    <t>ТССЦ-2001 Ленинградской обл. (ред. 2014), 101-1703, приказ Минстроя России № 648/пр от 09.09.2015 г.</t>
  </si>
  <si>
    <t>Прокладки резиновые (пластина техническая прессованная)</t>
  </si>
  <si>
    <t>509-0989</t>
  </si>
  <si>
    <t>ТССЦ-2001 Ленинградской обл. (ред. 2014), 509-0989, приказ Минстроя России № 648/пр от 09.09.2015 г.</t>
  </si>
  <si>
    <t>Шнур асбестовый общего назначения марки ШАОН диаметром 8-10 мм</t>
  </si>
  <si>
    <t>1-1036-47</t>
  </si>
  <si>
    <t>Рабочий строитель среднего разряда 3,6</t>
  </si>
  <si>
    <t>030305</t>
  </si>
  <si>
    <t>ТСЭМ-2001 Ленинградской обл. (ред. 2014), 030305, приказ Минстроя России № 648/пр от 09.09.2015 г.</t>
  </si>
  <si>
    <t>Лебедки ручные и рычажные тяговым усилием 31,39 кН (3,2 т)</t>
  </si>
  <si>
    <t>101-9496</t>
  </si>
  <si>
    <t>ТССЦ-2001 Ленинградской обл. (ред. 2014), 101-9496, приказ Минстроя России № 648/пр от 09.09.2015 г.</t>
  </si>
  <si>
    <t>Дополнительные элементы металлочерепичной кровли: разжелобки, коньки, ендовы, карнизные и торцевые планки, заглушки и т.д.</t>
  </si>
  <si>
    <t>301-9240</t>
  </si>
  <si>
    <t>ТССЦ-2001 Ленинградской обл. (ред. 2014), 301-9240, приказ Минстроя России № 648/пр от 09.09.2015 г.</t>
  </si>
  <si>
    <t>Крепления</t>
  </si>
  <si>
    <t>302-9120</t>
  </si>
  <si>
    <t>ТССЦ-2001 Ленинградской обл. (ред. 2014), 302-9120, приказ Минстроя России № 648/пр от 09.09.2015 г.</t>
  </si>
  <si>
    <t>Задвижки</t>
  </si>
  <si>
    <t>301-9390</t>
  </si>
  <si>
    <t>ТССЦ-2001 Ленинградской обл. (ред. 2014), 301-9390, приказ Минстроя России № 648/пр от 09.09.2015 г.</t>
  </si>
  <si>
    <t>Решетки жалюзийные</t>
  </si>
  <si>
    <t>101-9430</t>
  </si>
  <si>
    <t>ТССЦ-2001 Ленинградской обл. (ред. 2014), 101-9430, приказ Минстроя России № 648/пр от 09.09.2015 г.</t>
  </si>
  <si>
    <t>Сетки в рамках</t>
  </si>
  <si>
    <t>301-9066</t>
  </si>
  <si>
    <t>ТССЦ-2001 Ленинградской обл. (ред. 2014), 301-9066, приказ Минстроя России № 648/пр от 09.09.2015 г.</t>
  </si>
  <si>
    <t>Воздуховоды металлические</t>
  </si>
  <si>
    <t>301-9110</t>
  </si>
  <si>
    <t>ТССЦ-2001 Ленинградской обл. (ред. 2014), 301-9110, приказ Минстроя России № 648/пр от 09.09.2015 г.</t>
  </si>
  <si>
    <t>Дроссель-клапаны в патрубке</t>
  </si>
  <si>
    <t>301-9640</t>
  </si>
  <si>
    <t>ТССЦ-2001 Ленинградской обл. (ред. 2014), 301-9640, приказ Минстроя России № 648/пр от 09.09.2015 г.</t>
  </si>
  <si>
    <t>Заглушки питометражных лючков</t>
  </si>
  <si>
    <t>301-9548</t>
  </si>
  <si>
    <t>ТССЦ-2001 Ленинградской обл. (ред. 2014), 301-9548, приказ Минстроя России № 648/пр от 09.09.2015 г.</t>
  </si>
  <si>
    <t>Зонты стальные вентиляционных систем</t>
  </si>
  <si>
    <t>Поправка: МДС 81-36.2004, п.3.3.1.б  Наименование: При демонтаже сборных деревянных конструкций  Поправка: МДС 81-35.2004, прил.1, т.3, п.11.2  Наименование: Ремонт отдельных конструктивных элементов зданий, расположенных в застроенном центре города Ремонт сложных кровель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</si>
  <si>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МДС 81-36.2004, п.3.3.1.б  Наименование: При демонтаже сборных деревянных конструкций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</si>
  <si>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МДС 81-35.2004, прил.1, т.3, п.11.2  Наименование: Ремонт отдельных конструктивных элементов зданий, расположенных в застроенном центре города Ремонт сложных кровель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</si>
  <si>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МДС 81-35.2004, прил.1, т.1, п.4.1  Наименование: 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транспорта.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</si>
  <si>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"УТВЕРЖДАЮ"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</si>
  <si>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</si>
  <si>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</si>
  <si>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</si>
  <si>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</si>
  <si>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</si>
  <si>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</si>
  <si>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</si>
  <si>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</si>
  <si>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</si>
  <si>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</si>
  <si>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</si>
  <si>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</si>
  <si>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r>
      <t>46-04-008-3</t>
    </r>
    <r>
      <rPr>
        <i/>
        <sz val="10"/>
        <rFont val="Arial"/>
        <family val="2"/>
      </rPr>
      <t xml:space="preserve">
Поправка: МДС 81-38.2004, прил.3, п.11.2р</t>
    </r>
  </si>
  <si>
    <t>Зарплата</t>
  </si>
  <si>
    <t>НР от ФОТ</t>
  </si>
  <si>
    <t>%</t>
  </si>
  <si>
    <t>СП от ФОТ</t>
  </si>
  <si>
    <t>Затраты труда</t>
  </si>
  <si>
    <t>чел-ч</t>
  </si>
  <si>
    <r>
      <t>58-1-1</t>
    </r>
    <r>
      <rPr>
        <i/>
        <sz val="10"/>
        <rFont val="Arial"/>
        <family val="2"/>
      </rPr>
      <t xml:space="preserve">
Поправка: МДС 81-38.2004, прил.3, п.11.2р</t>
    </r>
  </si>
  <si>
    <t>в т.ч. зарплата машинистов</t>
  </si>
  <si>
    <r>
      <t>46-04-008-2</t>
    </r>
    <r>
      <rPr>
        <i/>
        <sz val="10"/>
        <rFont val="Arial"/>
        <family val="2"/>
      </rPr>
      <t xml:space="preserve">
Поправка: МДС 81-38.2004, прил.3, п.11.2р</t>
    </r>
  </si>
  <si>
    <r>
      <t>10-02-036-1</t>
    </r>
    <r>
      <rPr>
        <i/>
        <sz val="10"/>
        <rFont val="Arial"/>
        <family val="2"/>
      </rPr>
      <t xml:space="preserve">
Поправка: МДС 81-36.2004, п.3.3.1.б  Поправка: МДС 81-35.2004, прил.1, т.3, п.11.2</t>
    </r>
  </si>
  <si>
    <r>
      <t>58-17-1</t>
    </r>
    <r>
      <rPr>
        <i/>
        <sz val="10"/>
        <rFont val="Arial"/>
        <family val="2"/>
      </rPr>
      <t xml:space="preserve">
Поправка: МДС 81-38.2004, прил.3, п.11.2р</t>
    </r>
  </si>
  <si>
    <r>
      <t>65-35-1</t>
    </r>
    <r>
      <rPr>
        <i/>
        <sz val="10"/>
        <rFont val="Arial"/>
        <family val="2"/>
      </rPr>
      <t xml:space="preserve">
Поправка: МДС 81-38.2004, прил.3, п.11.2р</t>
    </r>
  </si>
  <si>
    <t>Материальные ресурсы</t>
  </si>
  <si>
    <r>
      <t>26-01-041-2</t>
    </r>
    <r>
      <rPr>
        <i/>
        <sz val="10"/>
        <rFont val="Arial"/>
        <family val="2"/>
      </rPr>
      <t xml:space="preserve">
Поправка: МДС 81-35.2004, п.4.7  Поправка: МДС 81-36.2004, п.3.3.1.б</t>
    </r>
  </si>
  <si>
    <r>
      <t>08-02-001-1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</si>
  <si>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10-02-036-1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</si>
  <si>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58-12-1</t>
    </r>
    <r>
      <rPr>
        <i/>
        <sz val="10"/>
        <rFont val="Arial"/>
        <family val="2"/>
      </rPr>
      <t xml:space="preserve">
Поправка: МДС 81-38.2004, прил.3, п.11.2р</t>
    </r>
  </si>
  <si>
    <r>
      <t>12-01-015-3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</si>
  <si>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12-01-010-1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</si>
  <si>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12-01-011-1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</si>
  <si>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12-01-020-1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</si>
  <si>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Планка конька полукруглого 0,5 Satin с пленкой, длиной 2 м</t>
    </r>
    <r>
      <rPr>
        <i/>
        <sz val="10"/>
        <rFont val="Arial"/>
        <family val="2"/>
      </rPr>
      <t xml:space="preserve">
Базисная стоимость: 437,50 = [525 / 1,2]</t>
    </r>
  </si>
  <si>
    <r>
      <t>Планка карнизная 100х65 0,5 Satin с пленкой, длиной 2 м</t>
    </r>
    <r>
      <rPr>
        <i/>
        <sz val="10"/>
        <rFont val="Arial"/>
        <family val="2"/>
      </rPr>
      <t xml:space="preserve">
Базисная стоимость: 266,67 = [320 / 1,2]</t>
    </r>
  </si>
  <si>
    <r>
      <t>Тройник Y конька полукруглого Satin с пленкой</t>
    </r>
    <r>
      <rPr>
        <i/>
        <sz val="10"/>
        <rFont val="Arial"/>
        <family val="2"/>
      </rPr>
      <t xml:space="preserve">
Базисная стоимость: 1 916,67 = [2 300 / 1,2]</t>
    </r>
  </si>
  <si>
    <r>
      <t>16-04-001-2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</si>
  <si>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Вентиляционный выход + колпак диаметром 110 мм.</t>
    </r>
    <r>
      <rPr>
        <i/>
        <sz val="10"/>
        <rFont val="Arial"/>
        <family val="2"/>
      </rPr>
      <t xml:space="preserve">
Базисная стоимость: 1 833,33 = [2 200 / 1,2]</t>
    </r>
  </si>
  <si>
    <r>
      <t>10-01-008-5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</si>
  <si>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12-01-012-1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</si>
  <si>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Усиленный решетчетый с 3х сторон снегодержатель</t>
    </r>
    <r>
      <rPr>
        <i/>
        <sz val="10"/>
        <rFont val="Arial"/>
        <family val="2"/>
      </rPr>
      <t xml:space="preserve">
Базисная стоимость: 666,67 = [800 / 1,2]</t>
    </r>
  </si>
  <si>
    <r>
      <t>20-02-002-1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</si>
  <si>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AIRO-FK (N90) жалюзийная решетка с горизонтальными ламелями против осадков</t>
    </r>
    <r>
      <rPr>
        <i/>
        <sz val="10"/>
        <rFont val="Arial"/>
        <family val="2"/>
      </rPr>
      <t xml:space="preserve">
Базисная стоимость: 133,23 = [1 020 / 1,2 /  6,38]</t>
    </r>
  </si>
  <si>
    <r>
      <t>26-01-055-1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</si>
  <si>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10-01-010-1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</si>
  <si>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11-01-009-1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</si>
  <si>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Утеплитель Технолайт Экстра 1200х600х100 мм</t>
    </r>
    <r>
      <rPr>
        <i/>
        <sz val="10"/>
        <rFont val="Arial"/>
        <family val="2"/>
      </rPr>
      <t xml:space="preserve">
Базисная стоимость: 183,33 = [220 / 1,2]</t>
    </r>
  </si>
  <si>
    <r>
      <t>11-01-033-1</t>
    </r>
    <r>
      <rPr>
        <i/>
        <sz val="10"/>
        <rFont val="Arial"/>
        <family val="2"/>
      </rPr>
      <t xml:space="preserve">
Поправка: МДС 81-35.2004, п.4.7  Поправка: МДС 81-35.2004, прил.1, т.1, п.4.1</t>
    </r>
  </si>
  <si>
    <r>
      <t>12-01-009-2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</si>
  <si>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Труба водосточная</t>
    </r>
    <r>
      <rPr>
        <i/>
        <sz val="10"/>
        <rFont val="Arial"/>
        <family val="2"/>
      </rPr>
      <t xml:space="preserve">
Базисная стоимость: 103,19 = [790 / 1,2 /  6,38]</t>
    </r>
  </si>
  <si>
    <r>
      <t>Желоб водосточный</t>
    </r>
    <r>
      <rPr>
        <i/>
        <sz val="10"/>
        <rFont val="Arial"/>
        <family val="2"/>
      </rPr>
      <t xml:space="preserve">
Базисная стоимость: 87,51 = [670 / 1,2 /  6,38]</t>
    </r>
  </si>
  <si>
    <r>
      <t>Внутренние углы желоба (соединительные детали углов желоба)</t>
    </r>
    <r>
      <rPr>
        <i/>
        <sz val="10"/>
        <rFont val="Arial"/>
        <family val="2"/>
      </rPr>
      <t xml:space="preserve">
Базисная стоимость: 43,10 = [330 / 1,2 /  6,38]</t>
    </r>
  </si>
  <si>
    <r>
      <t>Внешние углы желоба (соединительные детали углов желоба)</t>
    </r>
    <r>
      <rPr>
        <i/>
        <sz val="10"/>
        <rFont val="Arial"/>
        <family val="2"/>
      </rPr>
      <t xml:space="preserve">
Базисная стоимость: 43,10 = [330 / 1,2 /  6,38]</t>
    </r>
  </si>
  <si>
    <r>
      <t>Хомуты трубы</t>
    </r>
    <r>
      <rPr>
        <i/>
        <sz val="10"/>
        <rFont val="Arial"/>
        <family val="2"/>
      </rPr>
      <t xml:space="preserve">
Базисная стоимость: 32,65 = [250 / 1,2 /  6,38]</t>
    </r>
  </si>
  <si>
    <r>
      <t>Кронштейны желоба</t>
    </r>
    <r>
      <rPr>
        <i/>
        <sz val="10"/>
        <rFont val="Arial"/>
        <family val="2"/>
      </rPr>
      <t xml:space="preserve">
Базисная стоимость: 14,37 = [110 / 1,2 /  6,38]</t>
    </r>
  </si>
  <si>
    <r>
      <t>Угол трубы, 45 гр.</t>
    </r>
    <r>
      <rPr>
        <i/>
        <sz val="10"/>
        <rFont val="Arial"/>
        <family val="2"/>
      </rPr>
      <t xml:space="preserve">
Базисная стоимость: 88,82 = [680 / 1,2 /  6,38]</t>
    </r>
  </si>
  <si>
    <r>
      <t>Заглушка</t>
    </r>
    <r>
      <rPr>
        <i/>
        <sz val="10"/>
        <rFont val="Arial"/>
        <family val="2"/>
      </rPr>
      <t xml:space="preserve">
Базисная стоимость: 14,37 = [110 / 1,2 /  6,38]</t>
    </r>
  </si>
  <si>
    <r>
      <t>Слив трубы (наконечник)</t>
    </r>
    <r>
      <rPr>
        <i/>
        <sz val="10"/>
        <rFont val="Arial"/>
        <family val="2"/>
      </rPr>
      <t xml:space="preserve">
Базисная стоимость: 37,88 = [290 / 1,2 /  6,38]</t>
    </r>
  </si>
  <si>
    <r>
      <t>Соединительная муфта желоба</t>
    </r>
    <r>
      <rPr>
        <i/>
        <sz val="10"/>
        <rFont val="Arial"/>
        <family val="2"/>
      </rPr>
      <t xml:space="preserve">
Базисная стоимость: 20,90 = [160 / 1,2 /  6,38]</t>
    </r>
  </si>
  <si>
    <r>
      <t>Муфта желоба</t>
    </r>
    <r>
      <rPr>
        <i/>
        <sz val="10"/>
        <rFont val="Arial"/>
        <family val="2"/>
      </rPr>
      <t xml:space="preserve">
Базисная стоимость: 20,90 = [160 / 1,2 /  6,38]</t>
    </r>
  </si>
  <si>
    <r>
      <t>Кронштейн трубы</t>
    </r>
    <r>
      <rPr>
        <i/>
        <sz val="10"/>
        <rFont val="Arial"/>
        <family val="2"/>
      </rPr>
      <t xml:space="preserve">
Базисная стоимость: 14,37 = [110 / 1,2 /  6,38]</t>
    </r>
  </si>
  <si>
    <r>
      <t>Муфта трубы</t>
    </r>
    <r>
      <rPr>
        <i/>
        <sz val="10"/>
        <rFont val="Arial"/>
        <family val="2"/>
      </rPr>
      <t xml:space="preserve">
Базисная стоимость: 20,90 = [160 / 1,2 /  6,38]</t>
    </r>
  </si>
  <si>
    <r>
      <t>Отбойник водостока</t>
    </r>
    <r>
      <rPr>
        <i/>
        <sz val="10"/>
        <rFont val="Arial"/>
        <family val="2"/>
      </rPr>
      <t xml:space="preserve">
Базисная стоимость: 39,18 = [300 / 1,2 /  6,38]</t>
    </r>
  </si>
  <si>
    <r>
      <t>16-07-002-1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</si>
  <si>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Воронка водосточная</t>
    </r>
    <r>
      <rPr>
        <i/>
        <sz val="10"/>
        <rFont val="Arial"/>
        <family val="2"/>
      </rPr>
      <t xml:space="preserve">
Базисная стоимость: 86,86 = [665 / 1,2 /  6,38]</t>
    </r>
  </si>
  <si>
    <r>
      <t>20-01-001-10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</si>
  <si>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r>
      <t>20-02-010-2</t>
    </r>
    <r>
      <rPr>
        <i/>
        <sz val="10"/>
        <rFont val="Arial"/>
        <family val="2"/>
      </rPr>
      <t xml:space="preserve">
Поправка: МДС 81-35.2004, п.4.7  Поправка: МДС 81-35.2004, прил.1, т.3, п.11.2</t>
    </r>
  </si>
  <si>
    <t>[должность,подпись(инициалы,фамилия)]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</si>
  <si>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</si>
  <si>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</si>
  <si>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</si>
  <si>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</si>
  <si>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</si>
  <si>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Единица измерения</t>
  </si>
  <si>
    <t>Количество</t>
  </si>
  <si>
    <t>Примечание</t>
  </si>
  <si>
    <t>Заказчик _________________</t>
  </si>
  <si>
    <t>Подрядчик _________________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</si>
  <si>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</si>
  <si>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</si>
  <si>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</si>
  <si>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</si>
  <si>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</si>
  <si>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</si>
  <si>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</si>
  <si>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</si>
  <si>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</si>
  <si>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</si>
  <si>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</si>
  <si>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</si>
  <si>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</si>
  <si>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</si>
  <si>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</si>
  <si>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</si>
  <si>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</si>
  <si>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</si>
  <si>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</si>
  <si>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</si>
  <si>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</si>
  <si>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</si>
  <si>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</si>
  <si>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</si>
  <si>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</si>
  <si>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</si>
  <si>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</si>
  <si>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Номер</t>
  </si>
  <si>
    <t>поз. по сме-те</t>
  </si>
  <si>
    <t>Составлен(а) в ценах 2001 г. с учетом коэффициентов пересчета к базисной стоимости СМР в текущий уровень цен базисно-индексным методом за январь 2019 года</t>
  </si>
  <si>
    <t xml:space="preserve">Сдал   </t>
  </si>
  <si>
    <t xml:space="preserve">Принял   </t>
  </si>
  <si>
    <t xml:space="preserve">на ремонт кровли на объекте по адресу: Ленинградская обл., </t>
  </si>
  <si>
    <t>1 м3</t>
  </si>
  <si>
    <t>бруски обрезные длиной 4-6,5 м, шириной 200 мм, толщиной 50 мм.</t>
  </si>
  <si>
    <t>бруски обрезные длиной 4-6,5 м, шириной 50 мм, толщиной 50 мм.</t>
  </si>
  <si>
    <t>Устройства утепления вентиляции канализации</t>
  </si>
  <si>
    <t>м.п.</t>
  </si>
  <si>
    <t>Утеплитель Rockwool ЛАЙТ БАТТС 1000 х 600 х 100 мм. в два слоя</t>
  </si>
  <si>
    <t>ТРУБКА ВСПЕНЕННЫЙ ПОЛИЭТИЛЕН SUPER ENERGOFLEX 110/20-2 внутренний диаметр 110 мм, толщина 20 мм.</t>
  </si>
  <si>
    <t>Плёнка пароизоляционная универсальная ТехноНИКОЛЬ 1,5х50 м</t>
  </si>
  <si>
    <t>рул.</t>
  </si>
  <si>
    <t>Устройство утепления перекрытия</t>
  </si>
  <si>
    <t>Доски необрезные толщиной 25 мм</t>
  </si>
  <si>
    <t>Воронка водосточная диаметром 110 мм</t>
  </si>
  <si>
    <t>Бруски обрезные хвойных пород длиной 4-6,5 м, шириной 150 мм, толщиной 50 мм, I сорта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</si>
</sst>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176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6" fontId="0" fillId="0" borderId="0" xfId="0" applyNumberFormat="1" applyAlignment="1">
      <alignment/>
    </xf>
    <xf numFmtId="0" fontId="13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16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 wrapText="1"/>
    </xf>
    <xf numFmtId="176" fontId="12" fillId="0" borderId="12" xfId="0" applyNumberFormat="1" applyFont="1" applyBorder="1" applyAlignment="1">
      <alignment horizontal="right"/>
    </xf>
    <xf numFmtId="176" fontId="19" fillId="0" borderId="0" xfId="0" applyNumberFormat="1" applyFont="1" applyAlignment="1">
      <alignment horizontal="right"/>
    </xf>
    <xf numFmtId="176" fontId="18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13" fillId="0" borderId="12" xfId="0" applyFont="1" applyBorder="1" applyAlignment="1" quotePrefix="1">
      <alignment horizontal="right" wrapText="1"/>
    </xf>
    <xf numFmtId="0" fontId="12" fillId="0" borderId="12" xfId="0" applyFont="1" applyBorder="1" applyAlignment="1">
      <alignment horizontal="right"/>
    </xf>
    <xf numFmtId="0" fontId="13" fillId="0" borderId="0" xfId="0" applyFont="1" applyAlignment="1" quotePrefix="1">
      <alignment horizontal="right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176" fontId="0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left" vertical="top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/>
    </xf>
    <xf numFmtId="2" fontId="13" fillId="0" borderId="13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7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6" fontId="16" fillId="0" borderId="15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12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13" fillId="0" borderId="10" xfId="0" applyFont="1" applyBorder="1" applyAlignment="1" quotePrefix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zoomScalePageLayoutView="0" workbookViewId="0" topLeftCell="A37">
      <selection activeCell="B49" sqref="B49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</cols>
  <sheetData>
    <row r="1" ht="12.75">
      <c r="A1" s="9"/>
    </row>
    <row r="2" spans="3:4" ht="14.25">
      <c r="C2" s="11"/>
      <c r="D2" s="11"/>
    </row>
    <row r="3" spans="3:4" ht="15">
      <c r="C3" s="11"/>
      <c r="D3" s="13" t="s">
        <v>723</v>
      </c>
    </row>
    <row r="4" spans="3:4" ht="15">
      <c r="C4" s="13"/>
      <c r="D4" s="13"/>
    </row>
    <row r="5" spans="3:4" ht="15">
      <c r="C5" s="68" t="s">
        <v>793</v>
      </c>
      <c r="D5" s="68"/>
    </row>
    <row r="6" spans="3:4" ht="15">
      <c r="C6" s="45"/>
      <c r="D6" s="45"/>
    </row>
    <row r="7" spans="3:4" ht="15">
      <c r="C7" s="68" t="s">
        <v>793</v>
      </c>
      <c r="D7" s="68"/>
    </row>
    <row r="8" spans="3:4" ht="15">
      <c r="C8" s="45"/>
      <c r="D8" s="45"/>
    </row>
    <row r="9" spans="3:4" ht="15">
      <c r="C9" s="13" t="s">
        <v>794</v>
      </c>
      <c r="D9" s="11"/>
    </row>
    <row r="10" spans="1:5" ht="14.25">
      <c r="A10" s="11"/>
      <c r="B10" s="11"/>
      <c r="C10" s="11"/>
      <c r="D10" s="11"/>
      <c r="E10" s="11"/>
    </row>
    <row r="11" spans="1:5" ht="15.75">
      <c r="A11" s="69" t="str">
        <f>CONCATENATE("Ведомость объемов работ ",IF(Source!AN15&lt;&gt;"",Source!AN15," "))</f>
        <v>Ведомость объемов работ  </v>
      </c>
      <c r="B11" s="69"/>
      <c r="C11" s="69"/>
      <c r="D11" s="69"/>
      <c r="E11" s="11"/>
    </row>
    <row r="12" spans="1:5" ht="15">
      <c r="A12" s="70" t="s">
        <v>835</v>
      </c>
      <c r="B12" s="70"/>
      <c r="C12" s="70"/>
      <c r="D12" s="70"/>
      <c r="E12" s="11"/>
    </row>
    <row r="13" spans="1:5" ht="14.25">
      <c r="A13" s="11"/>
      <c r="B13" s="11"/>
      <c r="C13" s="11"/>
      <c r="D13" s="11"/>
      <c r="E13" s="11"/>
    </row>
    <row r="14" spans="1:5" ht="15">
      <c r="A14" s="11"/>
      <c r="B14" s="46" t="s">
        <v>795</v>
      </c>
      <c r="C14" s="11"/>
      <c r="D14" s="11"/>
      <c r="E14" s="11"/>
    </row>
    <row r="15" spans="1:5" ht="15">
      <c r="A15" s="11"/>
      <c r="B15" s="46" t="s">
        <v>796</v>
      </c>
      <c r="C15" s="11"/>
      <c r="D15" s="11"/>
      <c r="E15" s="11"/>
    </row>
    <row r="16" spans="1:5" ht="15">
      <c r="A16" s="11"/>
      <c r="B16" s="46" t="s">
        <v>797</v>
      </c>
      <c r="C16" s="11"/>
      <c r="D16" s="11"/>
      <c r="E16" s="11"/>
    </row>
    <row r="17" spans="1:5" ht="28.5">
      <c r="A17" s="15" t="s">
        <v>724</v>
      </c>
      <c r="B17" s="15" t="s">
        <v>726</v>
      </c>
      <c r="C17" s="15" t="s">
        <v>798</v>
      </c>
      <c r="D17" s="15" t="s">
        <v>799</v>
      </c>
      <c r="E17" s="47" t="s">
        <v>800</v>
      </c>
    </row>
    <row r="18" spans="1:5" ht="14.25">
      <c r="A18" s="48">
        <v>1</v>
      </c>
      <c r="B18" s="48">
        <v>2</v>
      </c>
      <c r="C18" s="48">
        <v>3</v>
      </c>
      <c r="D18" s="48">
        <v>4</v>
      </c>
      <c r="E18" s="49">
        <v>5</v>
      </c>
    </row>
    <row r="19" spans="1:5" ht="16.5">
      <c r="A19" s="67"/>
      <c r="B19" s="67"/>
      <c r="C19" s="67"/>
      <c r="D19" s="67"/>
      <c r="E19" s="67"/>
    </row>
    <row r="20" spans="1:5" ht="16.5">
      <c r="A20" s="67" t="str">
        <f>CONCATENATE("Раздел: ",Source!G24)</f>
        <v>Раздел: 1. Демонтажные работы</v>
      </c>
      <c r="B20" s="67"/>
      <c r="C20" s="67"/>
      <c r="D20" s="67"/>
      <c r="E20" s="67"/>
    </row>
    <row r="21" spans="1:5" ht="28.5">
      <c r="A21" s="54" t="str">
        <f>Source!E28</f>
        <v>1</v>
      </c>
      <c r="B21" s="55" t="str">
        <f>Source!G28</f>
        <v>Разборка покрытий кровель из асбестоцементных плит и черепицы</v>
      </c>
      <c r="C21" s="56" t="str">
        <f>Source!H28</f>
        <v>100 м2 покрытия</v>
      </c>
      <c r="D21" s="57">
        <f>Source!I28</f>
        <v>7</v>
      </c>
      <c r="E21" s="54"/>
    </row>
    <row r="22" spans="1:5" ht="28.5">
      <c r="A22" s="54" t="str">
        <f>Source!E29</f>
        <v>2</v>
      </c>
      <c r="B22" s="55" t="str">
        <f>Source!G29</f>
        <v>Разборка деревянных элементов конструкций крыш обрешетки из брусков с прозорами</v>
      </c>
      <c r="C22" s="56" t="str">
        <f>Source!H29</f>
        <v>100 м2 кровли</v>
      </c>
      <c r="D22" s="57">
        <f>Source!I29</f>
        <v>7</v>
      </c>
      <c r="E22" s="54"/>
    </row>
    <row r="23" spans="1:5" ht="14.25">
      <c r="A23" s="54" t="str">
        <f>Source!E30</f>
        <v>2,1</v>
      </c>
      <c r="B23" s="55" t="str">
        <f>Source!G30</f>
        <v>Строительный мусор</v>
      </c>
      <c r="C23" s="56" t="str">
        <f>Source!H30</f>
        <v>т</v>
      </c>
      <c r="D23" s="57">
        <f>Source!I30</f>
        <v>9.8</v>
      </c>
      <c r="E23" s="54"/>
    </row>
    <row r="24" spans="1:5" ht="28.5">
      <c r="A24" s="54" t="str">
        <f>Source!E31</f>
        <v>3</v>
      </c>
      <c r="B24" s="55" t="str">
        <f>Source!G31</f>
        <v>Разборка покрытий кровель из листовой стали (покрытия вентканалов)</v>
      </c>
      <c r="C24" s="56" t="str">
        <f>Source!H31</f>
        <v>100 м2 покрытия</v>
      </c>
      <c r="D24" s="57">
        <f>Source!I31</f>
        <v>0.186</v>
      </c>
      <c r="E24" s="54"/>
    </row>
    <row r="25" spans="1:5" ht="42.75">
      <c r="A25" s="54" t="str">
        <f>Source!E32</f>
        <v>4</v>
      </c>
      <c r="B25" s="55" t="str">
        <f>Source!G32</f>
        <v>Демонтаж стропил (подкосы и стропильные доски)</v>
      </c>
      <c r="C25" s="56" t="str">
        <f>Source!H32</f>
        <v>1 м3 древесины в конструкции</v>
      </c>
      <c r="D25" s="57">
        <f>Source!I32</f>
        <v>19.6</v>
      </c>
      <c r="E25" s="54"/>
    </row>
    <row r="26" spans="1:5" ht="42.75">
      <c r="A26" s="54" t="str">
        <f>Source!E33</f>
        <v>5</v>
      </c>
      <c r="B26" s="55" t="str">
        <f>Source!G33</f>
        <v>Разборка изоляции на кровле (рубероид)</v>
      </c>
      <c r="C26" s="56" t="str">
        <f>Source!H33</f>
        <v>100 М2 ПОКРЫТИЯ КРОВЛИ</v>
      </c>
      <c r="D26" s="57">
        <f>Source!I33</f>
        <v>5.6</v>
      </c>
      <c r="E26" s="54"/>
    </row>
    <row r="27" spans="1:5" ht="14.25">
      <c r="A27" s="54" t="str">
        <f>Source!E34</f>
        <v>5,1</v>
      </c>
      <c r="B27" s="55" t="str">
        <f>Source!G34</f>
        <v>Строительный мусор</v>
      </c>
      <c r="C27" s="56" t="str">
        <f>Source!H34</f>
        <v>т</v>
      </c>
      <c r="D27" s="57">
        <f>Source!I34</f>
        <v>0.56</v>
      </c>
      <c r="E27" s="54"/>
    </row>
    <row r="28" spans="1:5" ht="14.25">
      <c r="A28" s="54" t="str">
        <f>Source!E35</f>
        <v>6</v>
      </c>
      <c r="B28" s="55" t="str">
        <f>Source!G35</f>
        <v>Прочистка вентиляционных каналов</v>
      </c>
      <c r="C28" s="56" t="str">
        <f>Source!H35</f>
        <v>100 М КАНАЛА</v>
      </c>
      <c r="D28" s="57">
        <f>Source!I35</f>
        <v>0.99</v>
      </c>
      <c r="E28" s="54"/>
    </row>
    <row r="29" spans="1:5" ht="14.25">
      <c r="A29" s="54" t="str">
        <f>Source!E36</f>
        <v>7</v>
      </c>
      <c r="B29" s="55" t="str">
        <f>Source!G36</f>
        <v>Разборка сыпучего утеплителя по перекрытию с полной зачисткой</v>
      </c>
      <c r="C29" s="56" t="str">
        <f>Source!H36</f>
        <v>1 м3 изоляции</v>
      </c>
      <c r="D29" s="57">
        <f>Source!I36</f>
        <v>62</v>
      </c>
      <c r="E29" s="54"/>
    </row>
    <row r="30" spans="1:5" ht="16.5">
      <c r="A30" s="67" t="str">
        <f>CONCATENATE("Раздел: ",Source!G67)</f>
        <v>Раздел: 2. Строительные работы</v>
      </c>
      <c r="B30" s="67"/>
      <c r="C30" s="67"/>
      <c r="D30" s="67"/>
      <c r="E30" s="67"/>
    </row>
    <row r="31" spans="1:5" ht="16.5">
      <c r="A31" s="67" t="str">
        <f>CONCATENATE("Подраздел: ",Source!G71)</f>
        <v>Подраздел: 2.1. Крыша и кровля</v>
      </c>
      <c r="B31" s="67"/>
      <c r="C31" s="67"/>
      <c r="D31" s="67"/>
      <c r="E31" s="67"/>
    </row>
    <row r="32" spans="1:5" ht="28.5">
      <c r="A32" s="54" t="str">
        <f>Source!E75</f>
        <v>8</v>
      </c>
      <c r="B32" s="55" t="str">
        <f>Source!G75</f>
        <v>Зачеканка отверстии кирпичных вентканалов силикатным кирпичем (Кирпич силикатный 250х120х65)</v>
      </c>
      <c r="C32" s="56" t="str">
        <f>Source!H75</f>
        <v>1 м3 кладки</v>
      </c>
      <c r="D32" s="57">
        <f>Source!I75</f>
        <v>0.2</v>
      </c>
      <c r="E32" s="54"/>
    </row>
    <row r="33" spans="1:5" ht="42.75">
      <c r="A33" s="54" t="str">
        <f>Source!E76</f>
        <v>9</v>
      </c>
      <c r="B33" s="55" t="str">
        <f>Source!G76</f>
        <v>Устройство стропильных ног и подкосов</v>
      </c>
      <c r="C33" s="56" t="str">
        <f>Source!H76</f>
        <v>1 м3 древесины в конструкции</v>
      </c>
      <c r="D33" s="57">
        <f>Source!I76</f>
        <v>19.6</v>
      </c>
      <c r="E33" s="54"/>
    </row>
    <row r="34" spans="1:5" ht="28.5">
      <c r="A34" s="54" t="str">
        <f>Source!E77</f>
        <v>9,1</v>
      </c>
      <c r="B34" s="55" t="s">
        <v>848</v>
      </c>
      <c r="C34" s="56" t="str">
        <f>Source!H77</f>
        <v>м3</v>
      </c>
      <c r="D34" s="57">
        <f>Source!I77</f>
        <v>19.6</v>
      </c>
      <c r="E34" s="54"/>
    </row>
    <row r="35" spans="1:5" ht="14.25">
      <c r="A35" s="54" t="str">
        <f>Source!E78</f>
        <v>10</v>
      </c>
      <c r="B35" s="55" t="str">
        <f>Source!G78</f>
        <v>Устройство обрешетки сплошной из досок</v>
      </c>
      <c r="C35" s="56" t="str">
        <f>Source!H78</f>
        <v>100 м2</v>
      </c>
      <c r="D35" s="57">
        <f>Source!I78</f>
        <v>7</v>
      </c>
      <c r="E35" s="54"/>
    </row>
    <row r="36" spans="1:5" ht="28.5">
      <c r="A36" s="54" t="str">
        <f>Source!E80</f>
        <v>10,2</v>
      </c>
      <c r="B36" s="55" t="str">
        <f>Source!G80</f>
        <v>Доски необрезные хвойных пород длиной 4-6,5 м, все ширины, толщиной 25 мм, III сорта</v>
      </c>
      <c r="C36" s="56" t="str">
        <f>Source!H80</f>
        <v>м3</v>
      </c>
      <c r="D36" s="57">
        <v>51</v>
      </c>
      <c r="E36" s="54"/>
    </row>
    <row r="37" spans="1:5" ht="42.75">
      <c r="A37" s="54" t="str">
        <f>Source!E81</f>
        <v>11</v>
      </c>
      <c r="B37" s="55" t="str">
        <f>Source!G81</f>
        <v>Устройство пароизоляции прокладочной в один слой</v>
      </c>
      <c r="C37" s="56" t="str">
        <f>Source!H81</f>
        <v>100 м2 изолируемой поверхности</v>
      </c>
      <c r="D37" s="57">
        <f>Source!I81</f>
        <v>7.6</v>
      </c>
      <c r="E37" s="54"/>
    </row>
    <row r="38" spans="1:5" ht="14.25">
      <c r="A38" s="54" t="str">
        <f>Source!E82</f>
        <v>11,1</v>
      </c>
      <c r="B38" s="55" t="str">
        <f>Source!G82</f>
        <v>Паро-гидроизоляция Изостронг D</v>
      </c>
      <c r="C38" s="56" t="str">
        <f>Source!H82</f>
        <v>10 м2</v>
      </c>
      <c r="D38" s="57">
        <f>Source!I82</f>
        <v>83.6</v>
      </c>
      <c r="E38" s="54"/>
    </row>
    <row r="39" spans="1:5" ht="28.5">
      <c r="A39" s="54" t="str">
        <f>Source!E84</f>
        <v>12</v>
      </c>
      <c r="B39" s="55" t="str">
        <f>Source!G84</f>
        <v>Устройство мелких покрытий (брандмауэры, парапеты, свесы и т.п.) из листовой оцинкованной стали (воротник дымовой трубы)</v>
      </c>
      <c r="C39" s="56" t="str">
        <f>Source!H84</f>
        <v>100 м2 покрытия</v>
      </c>
      <c r="D39" s="57">
        <f>Source!I84</f>
        <v>0.52</v>
      </c>
      <c r="E39" s="54"/>
    </row>
    <row r="40" spans="1:5" ht="14.25">
      <c r="A40" s="54" t="str">
        <f>Source!E85</f>
        <v>13</v>
      </c>
      <c r="B40" s="55" t="str">
        <f>Source!G85</f>
        <v>Устройство колпаков над шахтами</v>
      </c>
      <c r="C40" s="56" t="str">
        <f>Source!H85</f>
        <v>1 КОЛПАК</v>
      </c>
      <c r="D40" s="57">
        <f>Source!I85</f>
        <v>12</v>
      </c>
      <c r="E40" s="54"/>
    </row>
    <row r="41" spans="1:5" ht="14.25">
      <c r="A41" s="54" t="str">
        <f>Source!E86</f>
        <v>14</v>
      </c>
      <c r="B41" s="55" t="str">
        <f>Source!G86</f>
        <v>Устройство кровель различных типов из металлочерепицы</v>
      </c>
      <c r="C41" s="56" t="str">
        <f>Source!H86</f>
        <v>100 м2 кровли</v>
      </c>
      <c r="D41" s="57">
        <f>Source!I86</f>
        <v>8</v>
      </c>
      <c r="E41" s="54"/>
    </row>
    <row r="42" spans="1:5" ht="14.25">
      <c r="A42" s="54" t="str">
        <f>Source!E87</f>
        <v>14,1</v>
      </c>
      <c r="B42" s="55" t="str">
        <f>Source!G87</f>
        <v>Планка конька полукруглого 0,5 Satin с пленкой, длиной 2 м</v>
      </c>
      <c r="C42" s="56" t="str">
        <f>Source!H87</f>
        <v>шт.</v>
      </c>
      <c r="D42" s="57">
        <f>Source!I87</f>
        <v>44</v>
      </c>
      <c r="E42" s="54"/>
    </row>
    <row r="43" spans="1:5" ht="14.25">
      <c r="A43" s="54" t="str">
        <f>Source!E88</f>
        <v>14,2</v>
      </c>
      <c r="B43" s="55" t="str">
        <f>Source!G88</f>
        <v>Планка карнизная 100х65 0,5 Satin с пленкой, длиной 2 м</v>
      </c>
      <c r="C43" s="56" t="str">
        <f>Source!H88</f>
        <v>шт.</v>
      </c>
      <c r="D43" s="57">
        <f>Source!I88</f>
        <v>66</v>
      </c>
      <c r="E43" s="54"/>
    </row>
    <row r="44" spans="1:5" ht="14.25">
      <c r="A44" s="54" t="str">
        <f>Source!E89</f>
        <v>14,3</v>
      </c>
      <c r="B44" s="55" t="str">
        <f>Source!G89</f>
        <v>Тройник Y конька полукруглого Satin с пленкой</v>
      </c>
      <c r="C44" s="56" t="str">
        <f>Source!H89</f>
        <v>м</v>
      </c>
      <c r="D44" s="57">
        <f>Source!I89</f>
        <v>2</v>
      </c>
      <c r="E44" s="54"/>
    </row>
    <row r="45" spans="1:5" ht="28.5">
      <c r="A45" s="54" t="str">
        <f>Source!E90</f>
        <v>15</v>
      </c>
      <c r="B45" s="55" t="str">
        <f>Source!G90</f>
        <v>Прокладка трубопроводов канализации из полиэтиленовых труб высокой плотности диаметром 110 мм</v>
      </c>
      <c r="C45" s="56" t="str">
        <f>Source!H90</f>
        <v>100 м трубопровода</v>
      </c>
      <c r="D45" s="57">
        <f>Source!I90</f>
        <v>0.42</v>
      </c>
      <c r="E45" s="54"/>
    </row>
    <row r="46" spans="1:5" ht="14.25">
      <c r="A46" s="54" t="str">
        <f>Source!E91</f>
        <v>15,1</v>
      </c>
      <c r="B46" s="55" t="str">
        <f>Source!G91</f>
        <v>Держатель с защелкой "DKC" для труб диаметром 110 мм</v>
      </c>
      <c r="C46" s="56" t="str">
        <f>Source!H91</f>
        <v>100 шт.</v>
      </c>
      <c r="D46" s="57">
        <f>Source!I91</f>
        <v>0.42</v>
      </c>
      <c r="E46" s="54"/>
    </row>
    <row r="47" spans="1:5" ht="14.25">
      <c r="A47" s="54" t="str">
        <f>Source!E92</f>
        <v>15,2</v>
      </c>
      <c r="B47" s="55" t="str">
        <f>Source!G92</f>
        <v>Вентиляционный выход + колпак диаметром 110 мм.</v>
      </c>
      <c r="C47" s="56" t="str">
        <f>Source!H92</f>
        <v>шт.</v>
      </c>
      <c r="D47" s="57">
        <f>Source!I92</f>
        <v>12</v>
      </c>
      <c r="E47" s="54"/>
    </row>
    <row r="48" spans="1:5" ht="14.25">
      <c r="A48" s="54">
        <v>16</v>
      </c>
      <c r="B48" s="63" t="s">
        <v>839</v>
      </c>
      <c r="C48" s="64"/>
      <c r="D48" s="65"/>
      <c r="E48" s="54"/>
    </row>
    <row r="49" spans="1:5" ht="28.5">
      <c r="A49" s="54">
        <v>16.1</v>
      </c>
      <c r="B49" s="63" t="s">
        <v>842</v>
      </c>
      <c r="C49" s="64" t="s">
        <v>840</v>
      </c>
      <c r="D49" s="65">
        <v>40</v>
      </c>
      <c r="E49" s="54"/>
    </row>
    <row r="50" spans="1:5" ht="99.75">
      <c r="A50" s="54">
        <v>17</v>
      </c>
      <c r="B50" s="55" t="str">
        <f>Source!G93</f>
        <v>Устройство карнизов</v>
      </c>
      <c r="C50" s="56" t="str">
        <f>Source!H93</f>
        <v>100 м2 стен, фронтонов (за вычетом проемов) и развернутых поверхностей карнизов</v>
      </c>
      <c r="D50" s="57">
        <f>Source!I93</f>
        <v>0.18</v>
      </c>
      <c r="E50" s="54"/>
    </row>
    <row r="51" spans="1:5" ht="28.5">
      <c r="A51" s="54">
        <v>18</v>
      </c>
      <c r="B51" s="55" t="str">
        <f>Source!G94</f>
        <v>Установка снегодрежателя</v>
      </c>
      <c r="C51" s="56" t="str">
        <f>Source!H94</f>
        <v>100 м ограждения</v>
      </c>
      <c r="D51" s="57">
        <f>Source!I94</f>
        <v>0.7</v>
      </c>
      <c r="E51" s="54"/>
    </row>
    <row r="52" spans="1:5" ht="14.25">
      <c r="A52" s="54">
        <v>18.1</v>
      </c>
      <c r="B52" s="55" t="str">
        <f>Source!G95</f>
        <v>Усиленный решетчетый с 3х сторон снегодержатель</v>
      </c>
      <c r="C52" s="56" t="str">
        <f>Source!H95</f>
        <v>м</v>
      </c>
      <c r="D52" s="57">
        <f>Source!I95</f>
        <v>70</v>
      </c>
      <c r="E52" s="54"/>
    </row>
    <row r="53" spans="1:5" ht="28.5">
      <c r="A53" s="54">
        <v>18.2</v>
      </c>
      <c r="B53" s="55" t="str">
        <f>Source!G96</f>
        <v>Дополнительные элементы металлочерепичной кровли: планка для снегозадержателя длиной 2000 мм</v>
      </c>
      <c r="C53" s="56" t="str">
        <f>Source!H96</f>
        <v>шт.</v>
      </c>
      <c r="D53" s="57">
        <f>Source!I96</f>
        <v>35</v>
      </c>
      <c r="E53" s="54"/>
    </row>
    <row r="54" spans="1:5" ht="14.25">
      <c r="A54" s="54">
        <v>19</v>
      </c>
      <c r="B54" s="55" t="str">
        <f>Source!G98</f>
        <v>Установка решеток жалюзийных площадью в свету до 0,5 м2</v>
      </c>
      <c r="C54" s="56" t="str">
        <f>Source!H98</f>
        <v>1 решетка</v>
      </c>
      <c r="D54" s="57">
        <f>Source!I98</f>
        <v>2</v>
      </c>
      <c r="E54" s="54"/>
    </row>
    <row r="55" spans="1:5" ht="28.5">
      <c r="A55" s="54">
        <v>19.1</v>
      </c>
      <c r="B55" s="55" t="str">
        <f>Source!G99</f>
        <v>AIRO-FK (N90) жалюзийная решетка с горизонтальными ламелями против осадков</v>
      </c>
      <c r="C55" s="56" t="str">
        <f>Source!H99</f>
        <v>шт.</v>
      </c>
      <c r="D55" s="57">
        <f>Source!I99</f>
        <v>2</v>
      </c>
      <c r="E55" s="54"/>
    </row>
    <row r="56" spans="1:5" ht="16.5">
      <c r="A56" s="67" t="str">
        <f>CONCATENATE("Подраздел: ",Source!G132)</f>
        <v>Подраздел: 2.2.  Перекрытие</v>
      </c>
      <c r="B56" s="67"/>
      <c r="C56" s="67"/>
      <c r="D56" s="67"/>
      <c r="E56" s="67"/>
    </row>
    <row r="57" spans="1:5" ht="57">
      <c r="A57" s="54">
        <v>20</v>
      </c>
      <c r="B57" s="55" t="str">
        <f>Source!G136</f>
        <v>Установка пароизоляционного слоя из пленки полиэтиленовой (ТехноНиколь)</v>
      </c>
      <c r="C57" s="56" t="str">
        <f>Source!H136</f>
        <v>100 м2 поверхности покрытия изоляции</v>
      </c>
      <c r="D57" s="57">
        <f>Source!I136</f>
        <v>6.2</v>
      </c>
      <c r="E57" s="54"/>
    </row>
    <row r="58" spans="1:5" ht="14.25">
      <c r="A58" s="54">
        <v>20.1</v>
      </c>
      <c r="B58" s="55" t="s">
        <v>843</v>
      </c>
      <c r="C58" s="56" t="s">
        <v>844</v>
      </c>
      <c r="D58" s="57">
        <v>9</v>
      </c>
      <c r="E58" s="54"/>
    </row>
    <row r="59" spans="1:5" ht="14.25">
      <c r="A59" s="54">
        <v>21</v>
      </c>
      <c r="B59" s="63" t="s">
        <v>275</v>
      </c>
      <c r="C59" s="64" t="s">
        <v>836</v>
      </c>
      <c r="D59" s="65">
        <v>8</v>
      </c>
      <c r="E59" s="54"/>
    </row>
    <row r="60" spans="1:5" ht="14.25">
      <c r="A60" s="54">
        <v>21.1</v>
      </c>
      <c r="B60" s="63" t="s">
        <v>837</v>
      </c>
      <c r="C60" s="64" t="s">
        <v>836</v>
      </c>
      <c r="D60" s="65">
        <v>6.4</v>
      </c>
      <c r="E60" s="54"/>
    </row>
    <row r="61" spans="1:5" ht="14.25">
      <c r="A61" s="54">
        <v>21.2</v>
      </c>
      <c r="B61" s="63" t="s">
        <v>838</v>
      </c>
      <c r="C61" s="64" t="s">
        <v>836</v>
      </c>
      <c r="D61" s="65">
        <v>1.6</v>
      </c>
      <c r="E61" s="54"/>
    </row>
    <row r="62" spans="1:5" ht="42.75">
      <c r="A62" s="54">
        <v>22</v>
      </c>
      <c r="B62" s="63" t="s">
        <v>845</v>
      </c>
      <c r="C62" s="64" t="str">
        <f>Source!H140</f>
        <v>100 м2 изолируемой поверхности</v>
      </c>
      <c r="D62" s="65">
        <f>Source!I140</f>
        <v>6.1</v>
      </c>
      <c r="E62" s="54"/>
    </row>
    <row r="63" spans="1:5" ht="14.25">
      <c r="A63" s="54">
        <v>22.1</v>
      </c>
      <c r="B63" s="63" t="s">
        <v>841</v>
      </c>
      <c r="C63" s="64" t="s">
        <v>149</v>
      </c>
      <c r="D63" s="65">
        <v>88.1</v>
      </c>
      <c r="E63" s="54"/>
    </row>
    <row r="64" spans="1:5" ht="28.5">
      <c r="A64" s="54">
        <v>23</v>
      </c>
      <c r="B64" s="55" t="str">
        <f>Source!G143</f>
        <v>Устройство покрытий дощатых толщиной 25 мм</v>
      </c>
      <c r="C64" s="56" t="str">
        <f>Source!H143</f>
        <v>100 м2 покрытия</v>
      </c>
      <c r="D64" s="57">
        <f>Source!I143</f>
        <v>6.8</v>
      </c>
      <c r="E64" s="54"/>
    </row>
    <row r="65" spans="1:5" ht="14.25">
      <c r="A65" s="54">
        <v>23.1</v>
      </c>
      <c r="B65" s="55" t="s">
        <v>846</v>
      </c>
      <c r="C65" s="56" t="s">
        <v>149</v>
      </c>
      <c r="D65" s="57">
        <v>17</v>
      </c>
      <c r="E65" s="54"/>
    </row>
    <row r="66" spans="1:5" ht="16.5">
      <c r="A66" s="67" t="str">
        <f>CONCATENATE("Подраздел: ",Source!G174)</f>
        <v>Подраздел: 2.3. Устройство наружней водосточной системы</v>
      </c>
      <c r="B66" s="67"/>
      <c r="C66" s="67"/>
      <c r="D66" s="67"/>
      <c r="E66" s="67"/>
    </row>
    <row r="67" spans="1:5" ht="28.5">
      <c r="A67" s="54">
        <v>24</v>
      </c>
      <c r="B67" s="55" t="str">
        <f>Source!G178</f>
        <v>Устройство желобов подвесных  (труба водосточная, желоб)</v>
      </c>
      <c r="C67" s="56" t="str">
        <f>Source!H178</f>
        <v>100 М ЖЕЛОБОВ</v>
      </c>
      <c r="D67" s="57">
        <f>Source!I178</f>
        <v>0.63</v>
      </c>
      <c r="E67" s="54"/>
    </row>
    <row r="68" spans="1:5" ht="14.25">
      <c r="A68" s="54">
        <v>24.1</v>
      </c>
      <c r="B68" s="55" t="str">
        <f>Source!G179</f>
        <v>Труба водосточная</v>
      </c>
      <c r="C68" s="56" t="str">
        <f>Source!H179</f>
        <v>шт.</v>
      </c>
      <c r="D68" s="57">
        <f>Source!I179</f>
        <v>4</v>
      </c>
      <c r="E68" s="54"/>
    </row>
    <row r="69" spans="1:5" ht="14.25">
      <c r="A69" s="54">
        <v>24.2</v>
      </c>
      <c r="B69" s="55" t="str">
        <f>Source!G180</f>
        <v>Желоб водосточный</v>
      </c>
      <c r="C69" s="56" t="str">
        <f>Source!H180</f>
        <v>шт.</v>
      </c>
      <c r="D69" s="57">
        <f>Source!I180</f>
        <v>17</v>
      </c>
      <c r="E69" s="54"/>
    </row>
    <row r="70" spans="1:5" ht="14.25">
      <c r="A70" s="54">
        <v>24.3</v>
      </c>
      <c r="B70" s="55" t="str">
        <f>Source!G181</f>
        <v>Внутренние углы желоба (соединительные детали углов желоба)</v>
      </c>
      <c r="C70" s="56" t="str">
        <f>Source!H181</f>
        <v>шт.</v>
      </c>
      <c r="D70" s="57">
        <f>Source!I181</f>
        <v>4</v>
      </c>
      <c r="E70" s="54"/>
    </row>
    <row r="71" spans="1:5" ht="14.25">
      <c r="A71" s="54">
        <v>24.4</v>
      </c>
      <c r="B71" s="55" t="str">
        <f>Source!G182</f>
        <v>Внешние углы желоба (соединительные детали углов желоба)</v>
      </c>
      <c r="C71" s="56" t="str">
        <f>Source!H182</f>
        <v>шт.</v>
      </c>
      <c r="D71" s="57">
        <f>Source!I182</f>
        <v>4</v>
      </c>
      <c r="E71" s="54"/>
    </row>
    <row r="72" spans="1:5" ht="14.25">
      <c r="A72" s="54">
        <v>24.5</v>
      </c>
      <c r="B72" s="55" t="str">
        <f>Source!G183</f>
        <v>Хомуты трубы</v>
      </c>
      <c r="C72" s="56" t="str">
        <f>Source!H183</f>
        <v>шт.</v>
      </c>
      <c r="D72" s="57">
        <f>Source!I183</f>
        <v>5</v>
      </c>
      <c r="E72" s="54"/>
    </row>
    <row r="73" spans="1:5" ht="14.25">
      <c r="A73" s="54">
        <v>24.6</v>
      </c>
      <c r="B73" s="55" t="str">
        <f>Source!G184</f>
        <v>Кронштейны желоба</v>
      </c>
      <c r="C73" s="56" t="str">
        <f>Source!H184</f>
        <v>шт.</v>
      </c>
      <c r="D73" s="57">
        <f>Source!I184</f>
        <v>85</v>
      </c>
      <c r="E73" s="54"/>
    </row>
    <row r="74" spans="1:5" ht="14.25">
      <c r="A74" s="54">
        <v>24.7</v>
      </c>
      <c r="B74" s="55" t="str">
        <f>Source!G185</f>
        <v>Угол трубы, 45 гр.</v>
      </c>
      <c r="C74" s="56" t="str">
        <f>Source!H185</f>
        <v>шт.</v>
      </c>
      <c r="D74" s="57">
        <f>Source!I185</f>
        <v>12</v>
      </c>
      <c r="E74" s="54"/>
    </row>
    <row r="75" spans="1:5" ht="14.25">
      <c r="A75" s="54">
        <v>24.8</v>
      </c>
      <c r="B75" s="55" t="str">
        <f>Source!G186</f>
        <v>Заглушка</v>
      </c>
      <c r="C75" s="56" t="str">
        <f>Source!H186</f>
        <v>шт.</v>
      </c>
      <c r="D75" s="57">
        <f>Source!I186</f>
        <v>12</v>
      </c>
      <c r="E75" s="54"/>
    </row>
    <row r="76" spans="1:5" ht="14.25">
      <c r="A76" s="54">
        <v>24.9</v>
      </c>
      <c r="B76" s="55" t="str">
        <f>Source!G187</f>
        <v>Слив трубы (наконечник)</v>
      </c>
      <c r="C76" s="56" t="str">
        <f>Source!H187</f>
        <v>шт.</v>
      </c>
      <c r="D76" s="57">
        <f>Source!I187</f>
        <v>6</v>
      </c>
      <c r="E76" s="54"/>
    </row>
    <row r="77" spans="1:5" ht="14.25">
      <c r="A77" s="66">
        <v>24.1</v>
      </c>
      <c r="B77" s="55" t="str">
        <f>Source!G188</f>
        <v>Соединительная муфта желоба</v>
      </c>
      <c r="C77" s="56" t="str">
        <f>Source!H188</f>
        <v>шт.</v>
      </c>
      <c r="D77" s="57">
        <f>Source!I188</f>
        <v>16</v>
      </c>
      <c r="E77" s="54"/>
    </row>
    <row r="78" spans="1:5" ht="14.25">
      <c r="A78" s="66">
        <v>24.11</v>
      </c>
      <c r="B78" s="55" t="str">
        <f>Source!G189</f>
        <v>Муфта желоба</v>
      </c>
      <c r="C78" s="56" t="str">
        <f>Source!H189</f>
        <v>шт.</v>
      </c>
      <c r="D78" s="57">
        <f>Source!I189</f>
        <v>16</v>
      </c>
      <c r="E78" s="54"/>
    </row>
    <row r="79" spans="1:5" ht="14.25">
      <c r="A79" s="66">
        <v>24.12</v>
      </c>
      <c r="B79" s="55" t="str">
        <f>Source!G190</f>
        <v>Кронштейн трубы</v>
      </c>
      <c r="C79" s="56" t="str">
        <f>Source!H190</f>
        <v>шт.</v>
      </c>
      <c r="D79" s="57">
        <f>Source!I190</f>
        <v>14</v>
      </c>
      <c r="E79" s="54"/>
    </row>
    <row r="80" spans="1:5" ht="14.25">
      <c r="A80" s="66">
        <v>24.13</v>
      </c>
      <c r="B80" s="55" t="str">
        <f>Source!G191</f>
        <v>Муфта трубы</v>
      </c>
      <c r="C80" s="56" t="str">
        <f>Source!H191</f>
        <v>шт.</v>
      </c>
      <c r="D80" s="57">
        <f>Source!I191</f>
        <v>27</v>
      </c>
      <c r="E80" s="54"/>
    </row>
    <row r="81" spans="1:5" ht="14.25">
      <c r="A81" s="66">
        <v>24.14</v>
      </c>
      <c r="B81" s="55" t="str">
        <f>Source!G192</f>
        <v>Отбойник водостока</v>
      </c>
      <c r="C81" s="56" t="str">
        <f>Source!H192</f>
        <v>шт.</v>
      </c>
      <c r="D81" s="57">
        <f>Source!I192</f>
        <v>4</v>
      </c>
      <c r="E81" s="54"/>
    </row>
    <row r="82" spans="1:5" ht="14.25">
      <c r="A82" s="54">
        <v>25</v>
      </c>
      <c r="B82" s="55" t="str">
        <f>Source!G194</f>
        <v>Установка воронок водосточных</v>
      </c>
      <c r="C82" s="56" t="str">
        <f>Source!H194</f>
        <v>1 воронка</v>
      </c>
      <c r="D82" s="57">
        <f>Source!I194</f>
        <v>6</v>
      </c>
      <c r="E82" s="54"/>
    </row>
    <row r="83" spans="1:5" ht="14.25">
      <c r="A83" s="54">
        <v>25.1</v>
      </c>
      <c r="B83" s="55" t="s">
        <v>847</v>
      </c>
      <c r="C83" s="56" t="str">
        <f>Source!H195</f>
        <v>шт.</v>
      </c>
      <c r="D83" s="57">
        <f>Source!I195</f>
        <v>6</v>
      </c>
      <c r="E83" s="54"/>
    </row>
    <row r="84" spans="1:5" ht="42.75">
      <c r="A84" s="54">
        <v>26</v>
      </c>
      <c r="B84" s="55" t="str">
        <f>Source!G197</f>
        <v>Прокладка воздуховодов из листовой, оцинкованной стали и алюминия класса Н (нормальные) толщиной 0,7 мм, периметром от 1100 до 1600 мм</v>
      </c>
      <c r="C84" s="56" t="str">
        <f>Source!H197</f>
        <v>100 м2 поверхности воздуховодов</v>
      </c>
      <c r="D84" s="57">
        <f>Source!I197</f>
        <v>0.348</v>
      </c>
      <c r="E84" s="54"/>
    </row>
    <row r="85" spans="1:5" ht="28.5">
      <c r="A85" s="54">
        <v>26.1</v>
      </c>
      <c r="B85" s="55" t="str">
        <f>Source!G198</f>
        <v>Воздуховоды из листовой стали толщиной 0,7 мм, периметром от 1100 до 1600 мм</v>
      </c>
      <c r="C85" s="56" t="str">
        <f>Source!H198</f>
        <v>м2</v>
      </c>
      <c r="D85" s="57">
        <f>Source!I198</f>
        <v>34.8</v>
      </c>
      <c r="E85" s="54"/>
    </row>
    <row r="86" spans="1:5" ht="28.5">
      <c r="A86" s="54">
        <v>27</v>
      </c>
      <c r="B86" s="55" t="str">
        <f>Source!G199</f>
        <v>Установка зонтов над шахтами из листовой стали прямоугольного сечения периметром 1300 мм</v>
      </c>
      <c r="C86" s="56" t="str">
        <f>Source!H199</f>
        <v>1 зонт</v>
      </c>
      <c r="D86" s="57">
        <f>Source!I199</f>
        <v>3</v>
      </c>
      <c r="E86" s="54"/>
    </row>
    <row r="87" spans="1:5" ht="28.5">
      <c r="A87" s="54">
        <v>27.1</v>
      </c>
      <c r="B87" s="55" t="str">
        <f>Source!G200</f>
        <v>Зонты вентиляционных систем из листовой оцинкованной стали, прямоугольные, периметром шахты 1200 мм</v>
      </c>
      <c r="C87" s="56" t="str">
        <f>Source!H200</f>
        <v>шт.</v>
      </c>
      <c r="D87" s="57">
        <f>Source!I200</f>
        <v>3</v>
      </c>
      <c r="E87" s="54"/>
    </row>
    <row r="88" spans="1:5" ht="16.5">
      <c r="A88" s="67" t="str">
        <f>CONCATENATE("Раздел: ",Source!G262)</f>
        <v>Раздел: 3. Погрузка и вывоз мусора</v>
      </c>
      <c r="B88" s="67"/>
      <c r="C88" s="67"/>
      <c r="D88" s="67"/>
      <c r="E88" s="67"/>
    </row>
    <row r="89" spans="1:5" ht="28.5">
      <c r="A89" s="54">
        <v>28</v>
      </c>
      <c r="B89" s="55" t="str">
        <f>Source!G266</f>
        <v>Погрузка при автомобильных перевозках мусора строительного с погрузкой вручную</v>
      </c>
      <c r="C89" s="56" t="str">
        <f>Source!H266</f>
        <v>1 Т ГРУЗА</v>
      </c>
      <c r="D89" s="57">
        <f>Source!I266</f>
        <v>135.34</v>
      </c>
      <c r="E89" s="54"/>
    </row>
    <row r="90" spans="1:5" ht="28.5">
      <c r="A90" s="50">
        <v>29</v>
      </c>
      <c r="B90" s="51" t="str">
        <f>Source!G267</f>
        <v>Перевозка грузов I класса автомобилями бортовыми грузоподъемностью до 15 т на расстояние до 25 км</v>
      </c>
      <c r="C90" s="52" t="str">
        <f>Source!H267</f>
        <v>1 Т ГРУЗА</v>
      </c>
      <c r="D90" s="53">
        <f>Source!I267</f>
        <v>135.34</v>
      </c>
      <c r="E90" s="50"/>
    </row>
    <row r="93" spans="1:5" ht="15">
      <c r="A93" s="23" t="s">
        <v>801</v>
      </c>
      <c r="B93" s="23"/>
      <c r="C93" s="23" t="s">
        <v>802</v>
      </c>
      <c r="D93" s="23"/>
      <c r="E93" s="23"/>
    </row>
  </sheetData>
  <sheetProtection/>
  <mergeCells count="11">
    <mergeCell ref="A20:E20"/>
    <mergeCell ref="A30:E30"/>
    <mergeCell ref="A31:E31"/>
    <mergeCell ref="A56:E56"/>
    <mergeCell ref="A66:E66"/>
    <mergeCell ref="A88:E88"/>
    <mergeCell ref="C5:D5"/>
    <mergeCell ref="C7:D7"/>
    <mergeCell ref="A11:D11"/>
    <mergeCell ref="A12:D12"/>
    <mergeCell ref="A19:E19"/>
  </mergeCells>
  <printOptions/>
  <pageMargins left="0.4" right="0.2" top="0.2" bottom="0.4" header="0.2" footer="0.2"/>
  <pageSetup fitToHeight="0" fitToWidth="1" orientation="portrait" paperSize="9" scale="77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2"/>
  <sheetViews>
    <sheetView zoomScalePageLayoutView="0" workbookViewId="0" topLeftCell="A1">
      <selection activeCell="A234" sqref="A234"/>
    </sheetView>
  </sheetViews>
  <sheetFormatPr defaultColWidth="9.140625" defaultRowHeight="12.75"/>
  <cols>
    <col min="1" max="2" width="5.7109375" style="0" customWidth="1"/>
    <col min="3" max="3" width="11.7109375" style="0" customWidth="1"/>
    <col min="4" max="4" width="40.7109375" style="0" customWidth="1"/>
    <col min="5" max="6" width="10.7109375" style="0" customWidth="1"/>
    <col min="7" max="9" width="12.7109375" style="0" customWidth="1"/>
    <col min="10" max="10" width="17.7109375" style="0" customWidth="1"/>
    <col min="11" max="11" width="8.7109375" style="0" customWidth="1"/>
    <col min="12" max="12" width="12.7109375" style="0" customWidth="1"/>
    <col min="13" max="13" width="8.7109375" style="0" customWidth="1"/>
    <col min="15" max="31" width="0" style="0" hidden="1" customWidth="1"/>
    <col min="32" max="32" width="96.7109375" style="0" hidden="1" customWidth="1"/>
    <col min="33" max="36" width="0" style="0" hidden="1" customWidth="1"/>
  </cols>
  <sheetData>
    <row r="1" ht="12.75">
      <c r="A1" s="9" t="str">
        <f>Source!B1</f>
        <v>Smeta.RU  (495) 974-1589</v>
      </c>
    </row>
    <row r="2" spans="1:13" ht="15">
      <c r="A2" s="11"/>
      <c r="B2" s="11"/>
      <c r="C2" s="11"/>
      <c r="D2" s="23"/>
      <c r="E2" s="23"/>
      <c r="F2" s="23"/>
      <c r="G2" s="11"/>
      <c r="H2" s="11"/>
      <c r="I2" s="11"/>
      <c r="J2" s="93" t="s">
        <v>803</v>
      </c>
      <c r="K2" s="93"/>
      <c r="L2" s="93"/>
      <c r="M2" s="93"/>
    </row>
    <row r="3" spans="1:13" ht="14.25">
      <c r="A3" s="11"/>
      <c r="B3" s="11"/>
      <c r="C3" s="11"/>
      <c r="D3" s="11"/>
      <c r="E3" s="11"/>
      <c r="F3" s="11"/>
      <c r="G3" s="11"/>
      <c r="H3" s="11"/>
      <c r="I3" s="93" t="s">
        <v>804</v>
      </c>
      <c r="J3" s="94"/>
      <c r="K3" s="94"/>
      <c r="L3" s="94"/>
      <c r="M3" s="94"/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93" t="s">
        <v>805</v>
      </c>
      <c r="K4" s="93"/>
      <c r="L4" s="93"/>
      <c r="M4" s="93"/>
    </row>
    <row r="5" spans="1:13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84" t="s">
        <v>806</v>
      </c>
      <c r="L6" s="84"/>
      <c r="M6" s="84"/>
    </row>
    <row r="7" spans="1:13" ht="14.25">
      <c r="A7" s="11"/>
      <c r="B7" s="11"/>
      <c r="C7" s="11"/>
      <c r="D7" s="11"/>
      <c r="E7" s="11"/>
      <c r="F7" s="11"/>
      <c r="G7" s="11"/>
      <c r="H7" s="11"/>
      <c r="I7" s="11"/>
      <c r="J7" s="10" t="s">
        <v>807</v>
      </c>
      <c r="K7" s="95" t="s">
        <v>808</v>
      </c>
      <c r="L7" s="95"/>
      <c r="M7" s="95"/>
    </row>
    <row r="8" spans="1:13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84">
        <f>IF(Source!AT15&lt;&gt;"",Source!AT15,"")</f>
      </c>
      <c r="L8" s="84"/>
      <c r="M8" s="84"/>
    </row>
    <row r="9" spans="1:13" ht="14.25">
      <c r="A9" s="75" t="s">
        <v>809</v>
      </c>
      <c r="B9" s="75"/>
      <c r="C9" s="91">
        <f>IF(Source!BA15&lt;&gt;"",Source!BA15,IF(Source!AU15&lt;&gt;"",Source!AU15,""))</f>
      </c>
      <c r="D9" s="91"/>
      <c r="E9" s="91"/>
      <c r="F9" s="91"/>
      <c r="G9" s="91"/>
      <c r="H9" s="91"/>
      <c r="I9" s="91"/>
      <c r="J9" s="10" t="s">
        <v>810</v>
      </c>
      <c r="K9" s="84"/>
      <c r="L9" s="84"/>
      <c r="M9" s="84"/>
    </row>
    <row r="10" spans="1:13" ht="14.25">
      <c r="A10" s="11"/>
      <c r="B10" s="11"/>
      <c r="C10" s="77" t="s">
        <v>811</v>
      </c>
      <c r="D10" s="77"/>
      <c r="E10" s="77"/>
      <c r="F10" s="77"/>
      <c r="G10" s="77"/>
      <c r="H10" s="77"/>
      <c r="I10" s="77"/>
      <c r="J10" s="11"/>
      <c r="K10" s="84">
        <f>IF(Source!AK15&lt;&gt;"",Source!AK15,"")</f>
      </c>
      <c r="L10" s="84"/>
      <c r="M10" s="84"/>
    </row>
    <row r="11" spans="1:13" ht="14.25">
      <c r="A11" s="75" t="s">
        <v>812</v>
      </c>
      <c r="B11" s="75"/>
      <c r="C11" s="91">
        <f>IF(Source!AX12&lt;&gt;"",Source!AX12,IF(Source!AJ12&lt;&gt;"",Source!AJ12,""))</f>
      </c>
      <c r="D11" s="91"/>
      <c r="E11" s="91"/>
      <c r="F11" s="91"/>
      <c r="G11" s="91"/>
      <c r="H11" s="91"/>
      <c r="I11" s="91"/>
      <c r="J11" s="10" t="s">
        <v>810</v>
      </c>
      <c r="K11" s="84"/>
      <c r="L11" s="84"/>
      <c r="M11" s="84"/>
    </row>
    <row r="12" spans="1:13" ht="14.25">
      <c r="A12" s="11"/>
      <c r="B12" s="11"/>
      <c r="C12" s="77" t="s">
        <v>811</v>
      </c>
      <c r="D12" s="77"/>
      <c r="E12" s="77"/>
      <c r="F12" s="77"/>
      <c r="G12" s="77"/>
      <c r="H12" s="77"/>
      <c r="I12" s="77"/>
      <c r="J12" s="11"/>
      <c r="K12" s="84">
        <f>IF(Source!AO15&lt;&gt;"",Source!AO15,"")</f>
      </c>
      <c r="L12" s="84"/>
      <c r="M12" s="84"/>
    </row>
    <row r="13" spans="1:13" ht="14.25">
      <c r="A13" s="75" t="s">
        <v>813</v>
      </c>
      <c r="B13" s="75"/>
      <c r="C13" s="91">
        <f>IF(Source!AY12&lt;&gt;"",Source!AY12,IF(Source!AN12&lt;&gt;"",Source!AN12,""))</f>
      </c>
      <c r="D13" s="91"/>
      <c r="E13" s="91"/>
      <c r="F13" s="91"/>
      <c r="G13" s="91"/>
      <c r="H13" s="91"/>
      <c r="I13" s="91"/>
      <c r="J13" s="10" t="s">
        <v>810</v>
      </c>
      <c r="K13" s="84"/>
      <c r="L13" s="84"/>
      <c r="M13" s="84"/>
    </row>
    <row r="14" spans="1:13" ht="14.25">
      <c r="A14" s="11"/>
      <c r="B14" s="11"/>
      <c r="C14" s="77" t="s">
        <v>811</v>
      </c>
      <c r="D14" s="77"/>
      <c r="E14" s="77"/>
      <c r="F14" s="77"/>
      <c r="G14" s="77"/>
      <c r="H14" s="77"/>
      <c r="I14" s="77"/>
      <c r="J14" s="11"/>
      <c r="K14" s="84">
        <f>IF(Source!CO15&lt;&gt;"",Source!CO15,"")</f>
      </c>
      <c r="L14" s="84"/>
      <c r="M14" s="84"/>
    </row>
    <row r="15" spans="1:13" ht="14.25">
      <c r="A15" s="75" t="s">
        <v>814</v>
      </c>
      <c r="B15" s="75"/>
      <c r="C15" s="91" t="s">
        <v>5</v>
      </c>
      <c r="D15" s="91"/>
      <c r="E15" s="91"/>
      <c r="F15" s="91"/>
      <c r="G15" s="91"/>
      <c r="H15" s="91"/>
      <c r="I15" s="91"/>
      <c r="J15" s="11"/>
      <c r="K15" s="84"/>
      <c r="L15" s="84"/>
      <c r="M15" s="84"/>
    </row>
    <row r="16" spans="1:13" ht="14.25">
      <c r="A16" s="11"/>
      <c r="B16" s="11"/>
      <c r="C16" s="77" t="s">
        <v>815</v>
      </c>
      <c r="D16" s="77"/>
      <c r="E16" s="77"/>
      <c r="F16" s="77"/>
      <c r="G16" s="77"/>
      <c r="H16" s="77"/>
      <c r="I16" s="77"/>
      <c r="J16" s="11"/>
      <c r="K16" s="84">
        <f>IF(Source!CP15&lt;&gt;"",Source!CP15,"")</f>
      </c>
      <c r="L16" s="84"/>
      <c r="M16" s="84"/>
    </row>
    <row r="17" spans="1:13" ht="14.25">
      <c r="A17" s="75" t="s">
        <v>816</v>
      </c>
      <c r="B17" s="75"/>
      <c r="C17" s="91" t="str">
        <f>IF(Source!G12&lt;&gt;"Новый объект",Source!G12,"")</f>
        <v>120319-1_КРОВЛЯ_ТЕР_лен обл_(Копия)</v>
      </c>
      <c r="D17" s="91"/>
      <c r="E17" s="91"/>
      <c r="F17" s="91"/>
      <c r="G17" s="91"/>
      <c r="H17" s="91"/>
      <c r="I17" s="91"/>
      <c r="J17" s="11"/>
      <c r="K17" s="84"/>
      <c r="L17" s="84"/>
      <c r="M17" s="84"/>
    </row>
    <row r="18" spans="1:13" ht="14.25">
      <c r="A18" s="11"/>
      <c r="B18" s="11"/>
      <c r="C18" s="77" t="s">
        <v>817</v>
      </c>
      <c r="D18" s="77"/>
      <c r="E18" s="77"/>
      <c r="F18" s="77"/>
      <c r="G18" s="77"/>
      <c r="H18" s="77"/>
      <c r="I18" s="77"/>
      <c r="J18" s="11"/>
      <c r="K18" s="11"/>
      <c r="L18" s="11"/>
      <c r="M18" s="11"/>
    </row>
    <row r="19" spans="1:13" ht="14.25">
      <c r="A19" s="11"/>
      <c r="B19" s="11"/>
      <c r="C19" s="11"/>
      <c r="D19" s="11"/>
      <c r="E19" s="11"/>
      <c r="F19" s="11"/>
      <c r="G19" s="11"/>
      <c r="H19" s="82" t="s">
        <v>818</v>
      </c>
      <c r="I19" s="82"/>
      <c r="J19" s="92"/>
      <c r="K19" s="84">
        <f>IF(Source!CQ15&lt;&gt;"",Source!CQ15,"")</f>
      </c>
      <c r="L19" s="84"/>
      <c r="M19" s="84"/>
    </row>
    <row r="20" spans="1:13" ht="14.25">
      <c r="A20" s="11"/>
      <c r="B20" s="11"/>
      <c r="C20" s="11"/>
      <c r="D20" s="11"/>
      <c r="E20" s="11"/>
      <c r="F20" s="11"/>
      <c r="G20" s="11"/>
      <c r="H20" s="82" t="s">
        <v>819</v>
      </c>
      <c r="I20" s="83"/>
      <c r="J20" s="58" t="s">
        <v>820</v>
      </c>
      <c r="K20" s="84">
        <f>IF(Source!CR15&lt;&gt;"",Source!CR15,"")</f>
      </c>
      <c r="L20" s="84"/>
      <c r="M20" s="84"/>
    </row>
    <row r="21" spans="1:13" ht="14.25">
      <c r="A21" s="11"/>
      <c r="B21" s="11"/>
      <c r="C21" s="11"/>
      <c r="D21" s="11"/>
      <c r="E21" s="11"/>
      <c r="F21" s="11"/>
      <c r="G21" s="11"/>
      <c r="H21" s="11"/>
      <c r="I21" s="11"/>
      <c r="J21" s="16" t="s">
        <v>821</v>
      </c>
      <c r="K21" s="85">
        <f>IF(Source!CS15&lt;&gt;0,Source!CS15,"")</f>
      </c>
      <c r="L21" s="85"/>
      <c r="M21" s="85"/>
    </row>
    <row r="22" spans="1:13" ht="14.25">
      <c r="A22" s="11"/>
      <c r="B22" s="11"/>
      <c r="C22" s="11"/>
      <c r="D22" s="11"/>
      <c r="E22" s="11"/>
      <c r="F22" s="11"/>
      <c r="G22" s="11"/>
      <c r="H22" s="11"/>
      <c r="I22" s="11"/>
      <c r="J22" s="10" t="s">
        <v>822</v>
      </c>
      <c r="K22" s="84">
        <f>IF(Source!CT15&lt;&gt;"",Source!CT15,"")</f>
      </c>
      <c r="L22" s="84"/>
      <c r="M22" s="84"/>
    </row>
    <row r="23" spans="1:13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11"/>
      <c r="C24" s="11"/>
      <c r="D24" s="11"/>
      <c r="E24" s="11"/>
      <c r="F24" s="11"/>
      <c r="G24" s="86" t="s">
        <v>823</v>
      </c>
      <c r="H24" s="88" t="s">
        <v>824</v>
      </c>
      <c r="I24" s="88" t="s">
        <v>825</v>
      </c>
      <c r="J24" s="90"/>
      <c r="K24" s="11"/>
      <c r="L24" s="11"/>
      <c r="M24" s="11"/>
    </row>
    <row r="25" spans="1:13" ht="14.25">
      <c r="A25" s="11"/>
      <c r="B25" s="11"/>
      <c r="C25" s="11"/>
      <c r="D25" s="11"/>
      <c r="E25" s="11"/>
      <c r="F25" s="11"/>
      <c r="G25" s="87"/>
      <c r="H25" s="89"/>
      <c r="I25" s="60" t="s">
        <v>826</v>
      </c>
      <c r="J25" s="59" t="s">
        <v>827</v>
      </c>
      <c r="K25" s="11"/>
      <c r="L25" s="11"/>
      <c r="M25" s="11"/>
    </row>
    <row r="26" spans="1:13" ht="14.25">
      <c r="A26" s="11"/>
      <c r="B26" s="11"/>
      <c r="C26" s="11"/>
      <c r="D26" s="11"/>
      <c r="E26" s="11"/>
      <c r="F26" s="11"/>
      <c r="G26" s="16">
        <f>IF(Source!CN15&lt;&gt;"",Source!CN15,"")</f>
      </c>
      <c r="H26" s="61">
        <v>43537.906377314815</v>
      </c>
      <c r="I26" s="16"/>
      <c r="J26" s="17"/>
      <c r="K26" s="11"/>
      <c r="L26" s="11"/>
      <c r="M26" s="11"/>
    </row>
    <row r="27" spans="1:13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8">
      <c r="A28" s="11"/>
      <c r="B28" s="80" t="s">
        <v>828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18">
      <c r="A29" s="11"/>
      <c r="B29" s="80" t="s">
        <v>829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81" t="s">
        <v>832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4.25">
      <c r="A32" s="79" t="s">
        <v>830</v>
      </c>
      <c r="B32" s="79"/>
      <c r="C32" s="79" t="s">
        <v>725</v>
      </c>
      <c r="D32" s="79" t="s">
        <v>726</v>
      </c>
      <c r="E32" s="79" t="s">
        <v>727</v>
      </c>
      <c r="F32" s="79" t="s">
        <v>728</v>
      </c>
      <c r="G32" s="79" t="s">
        <v>729</v>
      </c>
      <c r="H32" s="79" t="s">
        <v>730</v>
      </c>
      <c r="I32" s="79" t="s">
        <v>731</v>
      </c>
      <c r="J32" s="79" t="s">
        <v>732</v>
      </c>
      <c r="K32" s="79" t="s">
        <v>733</v>
      </c>
      <c r="L32" s="79" t="s">
        <v>734</v>
      </c>
      <c r="M32" s="79" t="s">
        <v>735</v>
      </c>
    </row>
    <row r="33" spans="1:13" ht="57">
      <c r="A33" s="15" t="s">
        <v>724</v>
      </c>
      <c r="B33" s="15" t="s">
        <v>831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1:13" ht="14.25">
      <c r="A34" s="62">
        <v>1</v>
      </c>
      <c r="B34" s="62">
        <v>2</v>
      </c>
      <c r="C34" s="62">
        <v>3</v>
      </c>
      <c r="D34" s="62">
        <v>4</v>
      </c>
      <c r="E34" s="62">
        <v>5</v>
      </c>
      <c r="F34" s="62">
        <v>6</v>
      </c>
      <c r="G34" s="62">
        <v>7</v>
      </c>
      <c r="H34" s="62">
        <v>8</v>
      </c>
      <c r="I34" s="62">
        <v>9</v>
      </c>
      <c r="J34" s="62">
        <v>10</v>
      </c>
      <c r="K34" s="62">
        <v>11</v>
      </c>
      <c r="L34" s="62">
        <v>12</v>
      </c>
      <c r="M34" s="62">
        <v>13</v>
      </c>
    </row>
    <row r="36" spans="1:13" ht="16.5">
      <c r="A36" s="71" t="str">
        <f>CONCATENATE("Раздел: ",IF(Source!G24&lt;&gt;"Новый раздел",Source!G24,""))</f>
        <v>Раздел: 1. Демонтажные работы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22" ht="92.25">
      <c r="A37" s="40">
        <v>1</v>
      </c>
      <c r="B37" s="40" t="str">
        <f>Source!E28</f>
        <v>1</v>
      </c>
      <c r="C37" s="41" t="s">
        <v>736</v>
      </c>
      <c r="D37" s="41" t="str">
        <f>Source!G28</f>
        <v>Разборка покрытий кровель из асбестоцементных плит и черепицы</v>
      </c>
      <c r="E37" s="26" t="str">
        <f>Source!H28</f>
        <v>100 м2 покрытия</v>
      </c>
      <c r="F37" s="10">
        <f>Source!I28</f>
        <v>7</v>
      </c>
      <c r="G37" s="14">
        <f>Source!AL28+Source!AM28+Source!AO28</f>
        <v>905.98</v>
      </c>
      <c r="H37" s="12"/>
      <c r="I37" s="14"/>
      <c r="J37" s="12" t="str">
        <f>Source!BO28</f>
        <v>46-04-008-3</v>
      </c>
      <c r="K37" s="12"/>
      <c r="L37" s="14"/>
      <c r="M37" s="27"/>
      <c r="S37">
        <f>ROUND((Source!FX28/100)*((ROUND(Source!AF28*Source!I28,2)+ROUND(Source!AE28*Source!I28,2))),2)</f>
        <v>7113.16</v>
      </c>
      <c r="T37">
        <f>Source!X28</f>
        <v>69851.23</v>
      </c>
      <c r="U37">
        <f>ROUND((Source!FY28/100)*((ROUND(Source!AF28*Source!I28,2)+ROUND(Source!AE28*Source!I28,2))),2)</f>
        <v>4275.08</v>
      </c>
      <c r="V37">
        <f>Source!Y28</f>
        <v>42334.08</v>
      </c>
    </row>
    <row r="38" spans="1:18" ht="14.25">
      <c r="A38" s="40"/>
      <c r="B38" s="40"/>
      <c r="C38" s="41"/>
      <c r="D38" s="41" t="s">
        <v>737</v>
      </c>
      <c r="E38" s="26"/>
      <c r="F38" s="10"/>
      <c r="G38" s="14">
        <f>Source!AO28</f>
        <v>821.14</v>
      </c>
      <c r="H38" s="12" t="str">
        <f>Source!DG28</f>
        <v>)*1,25</v>
      </c>
      <c r="I38" s="14">
        <f>ROUND(Source!AF28*Source!I28,2)</f>
        <v>7185.01</v>
      </c>
      <c r="J38" s="12"/>
      <c r="K38" s="12">
        <f>IF(Source!BA28&lt;&gt;0,Source!BA28,1)</f>
        <v>9.82</v>
      </c>
      <c r="L38" s="14">
        <f>Source!S28</f>
        <v>70556.8</v>
      </c>
      <c r="M38" s="27"/>
      <c r="R38">
        <f>I38</f>
        <v>7185.01</v>
      </c>
    </row>
    <row r="39" spans="1:13" ht="14.25">
      <c r="A39" s="40"/>
      <c r="B39" s="40"/>
      <c r="C39" s="41"/>
      <c r="D39" s="41" t="s">
        <v>100</v>
      </c>
      <c r="E39" s="26"/>
      <c r="F39" s="10"/>
      <c r="G39" s="14">
        <f>Source!AM28</f>
        <v>84.84</v>
      </c>
      <c r="H39" s="12" t="str">
        <f>Source!DE28</f>
        <v>)*1,25</v>
      </c>
      <c r="I39" s="14">
        <f>ROUND(Source!AD28*Source!I28,2)</f>
        <v>742.35</v>
      </c>
      <c r="J39" s="12"/>
      <c r="K39" s="12">
        <f>IF(Source!BB28&lt;&gt;0,Source!BB28,1)</f>
        <v>5.28</v>
      </c>
      <c r="L39" s="14">
        <f>Source!Q28</f>
        <v>3919.61</v>
      </c>
      <c r="M39" s="27"/>
    </row>
    <row r="40" spans="1:13" ht="14.25">
      <c r="A40" s="40"/>
      <c r="B40" s="40"/>
      <c r="C40" s="41"/>
      <c r="D40" s="41" t="s">
        <v>738</v>
      </c>
      <c r="E40" s="26" t="s">
        <v>739</v>
      </c>
      <c r="F40" s="10">
        <f>Source!BZ28</f>
        <v>110</v>
      </c>
      <c r="G40" s="75" t="str">
        <f>CONCATENATE(" )",Source!DL28,Source!FT28,"=",Source!FX28)</f>
        <v> )*0,9=99</v>
      </c>
      <c r="H40" s="76"/>
      <c r="I40" s="14">
        <f>SUM(S37:S42)</f>
        <v>7113.16</v>
      </c>
      <c r="J40" s="28"/>
      <c r="K40" s="24">
        <f>Source!AT28</f>
        <v>99</v>
      </c>
      <c r="L40" s="14">
        <f>SUM(T37:T42)</f>
        <v>69851.23</v>
      </c>
      <c r="M40" s="27"/>
    </row>
    <row r="41" spans="1:13" ht="14.25">
      <c r="A41" s="40"/>
      <c r="B41" s="40"/>
      <c r="C41" s="41"/>
      <c r="D41" s="41" t="s">
        <v>740</v>
      </c>
      <c r="E41" s="26" t="s">
        <v>739</v>
      </c>
      <c r="F41" s="10">
        <f>Source!CA28</f>
        <v>70</v>
      </c>
      <c r="G41" s="75" t="str">
        <f>CONCATENATE(" )",Source!DM28,Source!FU28,"=",Source!FY28)</f>
        <v> )*0,85=59,5</v>
      </c>
      <c r="H41" s="76"/>
      <c r="I41" s="14">
        <f>SUM(U37:U42)</f>
        <v>4275.08</v>
      </c>
      <c r="J41" s="28"/>
      <c r="K41" s="24">
        <f>Source!AU28</f>
        <v>60</v>
      </c>
      <c r="L41" s="14">
        <f>SUM(V37:V42)</f>
        <v>42334.08</v>
      </c>
      <c r="M41" s="27"/>
    </row>
    <row r="42" spans="1:13" ht="14.25">
      <c r="A42" s="42"/>
      <c r="B42" s="42"/>
      <c r="C42" s="43"/>
      <c r="D42" s="43" t="s">
        <v>741</v>
      </c>
      <c r="E42" s="29" t="s">
        <v>742</v>
      </c>
      <c r="F42" s="30">
        <f>Source!AQ28</f>
        <v>55.52</v>
      </c>
      <c r="G42" s="31"/>
      <c r="H42" s="32" t="str">
        <f>Source!DI28</f>
        <v>)*1,25</v>
      </c>
      <c r="I42" s="31"/>
      <c r="J42" s="32"/>
      <c r="K42" s="32"/>
      <c r="L42" s="31"/>
      <c r="M42" s="33">
        <f>Source!U28</f>
        <v>485.80000000000007</v>
      </c>
    </row>
    <row r="43" spans="8:26" ht="15">
      <c r="H43" s="74">
        <f>I38+I39+I40+I41</f>
        <v>19315.6</v>
      </c>
      <c r="I43" s="74"/>
      <c r="K43" s="74">
        <f>L38+L39+L40+L41</f>
        <v>186661.72000000003</v>
      </c>
      <c r="L43" s="74"/>
      <c r="M43" s="34">
        <f>Source!U28</f>
        <v>485.80000000000007</v>
      </c>
      <c r="O43" s="18">
        <f>H43</f>
        <v>19315.6</v>
      </c>
      <c r="P43" s="18">
        <f>K43</f>
        <v>186661.72000000003</v>
      </c>
      <c r="Q43" s="18">
        <f>M43</f>
        <v>485.80000000000007</v>
      </c>
      <c r="W43">
        <f>IF(Source!BI28&lt;=1,I38+I39+I40+I41,0)</f>
        <v>19315.6</v>
      </c>
      <c r="X43">
        <f>IF(Source!BI28=2,I38+I39+I40+I41,0)</f>
        <v>0</v>
      </c>
      <c r="Y43">
        <f>IF(Source!BI28=3,I38+I39+I40+I41,0)</f>
        <v>0</v>
      </c>
      <c r="Z43">
        <f>IF(Source!BI28=4,I38+I39+I40+I41,0)</f>
        <v>0</v>
      </c>
    </row>
    <row r="44" spans="1:22" ht="78">
      <c r="A44" s="40">
        <v>2</v>
      </c>
      <c r="B44" s="40" t="str">
        <f>Source!E29</f>
        <v>2</v>
      </c>
      <c r="C44" s="41" t="s">
        <v>743</v>
      </c>
      <c r="D44" s="41" t="str">
        <f>Source!G29</f>
        <v>Разборка деревянных элементов конструкций крыш обрешетки из брусков с прозорами</v>
      </c>
      <c r="E44" s="26" t="str">
        <f>Source!H29</f>
        <v>100 м2 кровли</v>
      </c>
      <c r="F44" s="10">
        <f>Source!I29</f>
        <v>7</v>
      </c>
      <c r="G44" s="14">
        <f>Source!AL29+Source!AM29+Source!AO29</f>
        <v>273.8</v>
      </c>
      <c r="H44" s="12"/>
      <c r="I44" s="14"/>
      <c r="J44" s="12" t="str">
        <f>Source!BO29</f>
        <v>58-1-1</v>
      </c>
      <c r="K44" s="12"/>
      <c r="L44" s="14"/>
      <c r="M44" s="27"/>
      <c r="S44">
        <f>ROUND((Source!FX29/100)*((ROUND(Source!AF29*Source!I29,2)+ROUND(Source!AE29*Source!I29,2))),2)</f>
        <v>1740.04</v>
      </c>
      <c r="T44">
        <f>Source!X29</f>
        <v>17087.16</v>
      </c>
      <c r="U44">
        <f>ROUND((Source!FY29/100)*((ROUND(Source!AF29*Source!I29,2)+ROUND(Source!AE29*Source!I29,2))),2)</f>
        <v>1362.68</v>
      </c>
      <c r="V44">
        <f>Source!Y29</f>
        <v>13381.51</v>
      </c>
    </row>
    <row r="45" spans="1:18" ht="14.25">
      <c r="A45" s="40"/>
      <c r="B45" s="40"/>
      <c r="C45" s="41"/>
      <c r="D45" s="41" t="s">
        <v>737</v>
      </c>
      <c r="E45" s="26"/>
      <c r="F45" s="10"/>
      <c r="G45" s="14">
        <f>Source!AO29</f>
        <v>228.31</v>
      </c>
      <c r="H45" s="12" t="str">
        <f>Source!DG29</f>
        <v>)*1,25</v>
      </c>
      <c r="I45" s="14">
        <f>ROUND(Source!AF29*Source!I29,2)</f>
        <v>1997.73</v>
      </c>
      <c r="J45" s="12"/>
      <c r="K45" s="12">
        <f>IF(Source!BA29&lt;&gt;0,Source!BA29,1)</f>
        <v>9.82</v>
      </c>
      <c r="L45" s="14">
        <f>Source!S29</f>
        <v>19617.71</v>
      </c>
      <c r="M45" s="27"/>
      <c r="R45">
        <f>I45</f>
        <v>1997.73</v>
      </c>
    </row>
    <row r="46" spans="1:13" ht="14.25">
      <c r="A46" s="40"/>
      <c r="B46" s="40"/>
      <c r="C46" s="41"/>
      <c r="D46" s="41" t="s">
        <v>100</v>
      </c>
      <c r="E46" s="26"/>
      <c r="F46" s="10"/>
      <c r="G46" s="14">
        <f>Source!AM29</f>
        <v>45.49</v>
      </c>
      <c r="H46" s="12" t="str">
        <f>Source!DE29</f>
        <v>)*1,25</v>
      </c>
      <c r="I46" s="14">
        <f>ROUND(Source!AD29*Source!I29,2)</f>
        <v>398.02</v>
      </c>
      <c r="J46" s="12"/>
      <c r="K46" s="12">
        <f>IF(Source!BB29&lt;&gt;0,Source!BB29,1)</f>
        <v>8.15</v>
      </c>
      <c r="L46" s="14">
        <f>Source!Q29</f>
        <v>3243.86</v>
      </c>
      <c r="M46" s="27"/>
    </row>
    <row r="47" spans="1:18" ht="14.25">
      <c r="A47" s="40"/>
      <c r="B47" s="40"/>
      <c r="C47" s="41"/>
      <c r="D47" s="41" t="s">
        <v>744</v>
      </c>
      <c r="E47" s="26"/>
      <c r="F47" s="10"/>
      <c r="G47" s="14">
        <f>Source!AN29</f>
        <v>11.28</v>
      </c>
      <c r="H47" s="12" t="str">
        <f>Source!DF29</f>
        <v>)*1,25</v>
      </c>
      <c r="I47" s="35">
        <f>ROUND(Source!AE29*Source!I29,2)</f>
        <v>98.7</v>
      </c>
      <c r="J47" s="12"/>
      <c r="K47" s="12">
        <f>IF(Source!BS29&lt;&gt;0,Source!BS29,1)</f>
        <v>9.82</v>
      </c>
      <c r="L47" s="35">
        <f>Source!R29</f>
        <v>969.23</v>
      </c>
      <c r="M47" s="27"/>
      <c r="R47">
        <f>I47</f>
        <v>98.7</v>
      </c>
    </row>
    <row r="48" spans="1:13" ht="14.25">
      <c r="A48" s="40"/>
      <c r="B48" s="40"/>
      <c r="C48" s="41"/>
      <c r="D48" s="41" t="s">
        <v>738</v>
      </c>
      <c r="E48" s="26" t="s">
        <v>739</v>
      </c>
      <c r="F48" s="10">
        <f>Source!BZ29</f>
        <v>83</v>
      </c>
      <c r="G48" s="44"/>
      <c r="H48" s="12"/>
      <c r="I48" s="14">
        <f>SUM(S44:S51)</f>
        <v>1740.04</v>
      </c>
      <c r="J48" s="28"/>
      <c r="K48" s="24">
        <f>Source!AT29</f>
        <v>83</v>
      </c>
      <c r="L48" s="14">
        <f>SUM(T44:T51)</f>
        <v>17087.16</v>
      </c>
      <c r="M48" s="27"/>
    </row>
    <row r="49" spans="1:13" ht="14.25">
      <c r="A49" s="40"/>
      <c r="B49" s="40"/>
      <c r="C49" s="41"/>
      <c r="D49" s="41" t="s">
        <v>740</v>
      </c>
      <c r="E49" s="26" t="s">
        <v>739</v>
      </c>
      <c r="F49" s="10">
        <f>Source!CA29</f>
        <v>65</v>
      </c>
      <c r="G49" s="44"/>
      <c r="H49" s="12"/>
      <c r="I49" s="14">
        <f>SUM(U44:U51)</f>
        <v>1362.68</v>
      </c>
      <c r="J49" s="28"/>
      <c r="K49" s="24">
        <f>Source!AU29</f>
        <v>65</v>
      </c>
      <c r="L49" s="14">
        <f>SUM(V44:V51)</f>
        <v>13381.51</v>
      </c>
      <c r="M49" s="27"/>
    </row>
    <row r="50" spans="1:13" ht="14.25">
      <c r="A50" s="40"/>
      <c r="B50" s="40"/>
      <c r="C50" s="41"/>
      <c r="D50" s="41" t="s">
        <v>741</v>
      </c>
      <c r="E50" s="26" t="s">
        <v>742</v>
      </c>
      <c r="F50" s="10">
        <f>Source!AQ29</f>
        <v>15.16</v>
      </c>
      <c r="G50" s="14"/>
      <c r="H50" s="12" t="str">
        <f>Source!DI29</f>
        <v>)*1,25</v>
      </c>
      <c r="I50" s="14"/>
      <c r="J50" s="12"/>
      <c r="K50" s="12"/>
      <c r="L50" s="14"/>
      <c r="M50" s="36">
        <f>Source!U29</f>
        <v>132.65</v>
      </c>
    </row>
    <row r="51" spans="1:26" ht="14.25">
      <c r="A51" s="42">
        <v>3</v>
      </c>
      <c r="B51" s="42" t="str">
        <f>Source!E30</f>
        <v>2,1</v>
      </c>
      <c r="C51" s="43" t="str">
        <f>Source!F30</f>
        <v>509-9900</v>
      </c>
      <c r="D51" s="43" t="str">
        <f>Source!G30</f>
        <v>Строительный мусор</v>
      </c>
      <c r="E51" s="29" t="str">
        <f>Source!H30</f>
        <v>т</v>
      </c>
      <c r="F51" s="30">
        <f>Source!I30</f>
        <v>9.8</v>
      </c>
      <c r="G51" s="31">
        <f>Source!AL30+Source!AM30+Source!AO30</f>
        <v>0</v>
      </c>
      <c r="H51" s="37" t="s">
        <v>3</v>
      </c>
      <c r="I51" s="31">
        <f>ROUND(Source!AC30*Source!I30,2)+ROUND(Source!AD30*Source!I30,2)+ROUND(Source!AF30*Source!I30,2)</f>
        <v>0</v>
      </c>
      <c r="J51" s="32"/>
      <c r="K51" s="32">
        <f>IF(Source!BC30&lt;&gt;0,Source!BC30,1)</f>
        <v>1</v>
      </c>
      <c r="L51" s="31">
        <f>Source!O30</f>
        <v>0</v>
      </c>
      <c r="M51" s="38"/>
      <c r="S51">
        <f>ROUND((Source!FX30/100)*((ROUND(Source!AF30*Source!I30,2)+ROUND(Source!AE30*Source!I30,2))),2)</f>
        <v>0</v>
      </c>
      <c r="T51">
        <f>Source!X30</f>
        <v>0</v>
      </c>
      <c r="U51">
        <f>ROUND((Source!FY30/100)*((ROUND(Source!AF30*Source!I30,2)+ROUND(Source!AE30*Source!I30,2))),2)</f>
        <v>0</v>
      </c>
      <c r="V51">
        <f>Source!Y30</f>
        <v>0</v>
      </c>
      <c r="W51">
        <f>IF(Source!BI30&lt;=1,I51,0)</f>
        <v>0</v>
      </c>
      <c r="X51">
        <f>IF(Source!BI30=2,I51,0)</f>
        <v>0</v>
      </c>
      <c r="Y51">
        <f>IF(Source!BI30=3,I51,0)</f>
        <v>0</v>
      </c>
      <c r="Z51">
        <f>IF(Source!BI30=4,I51,0)</f>
        <v>0</v>
      </c>
    </row>
    <row r="52" spans="8:26" ht="15">
      <c r="H52" s="74">
        <f>I45+I46+I48+I49+SUM(I51:I51)</f>
        <v>5498.47</v>
      </c>
      <c r="I52" s="74"/>
      <c r="K52" s="74">
        <f>L45+L46+L48+L49+SUM(L51:L51)</f>
        <v>53330.24</v>
      </c>
      <c r="L52" s="74"/>
      <c r="M52" s="34">
        <f>Source!U29</f>
        <v>132.65</v>
      </c>
      <c r="O52" s="18">
        <f>H52</f>
        <v>5498.47</v>
      </c>
      <c r="P52" s="18">
        <f>K52</f>
        <v>53330.24</v>
      </c>
      <c r="Q52" s="18">
        <f>M52</f>
        <v>132.65</v>
      </c>
      <c r="W52">
        <f>IF(Source!BI29&lt;=1,I45+I46+I48+I49,0)</f>
        <v>5498.47</v>
      </c>
      <c r="X52">
        <f>IF(Source!BI29=2,I45+I46+I48+I49,0)</f>
        <v>0</v>
      </c>
      <c r="Y52">
        <f>IF(Source!BI29=3,I45+I46+I48+I49,0)</f>
        <v>0</v>
      </c>
      <c r="Z52">
        <f>IF(Source!BI29=4,I45+I46+I48+I49,0)</f>
        <v>0</v>
      </c>
    </row>
    <row r="53" spans="1:22" ht="92.25">
      <c r="A53" s="40">
        <v>4</v>
      </c>
      <c r="B53" s="40" t="str">
        <f>Source!E31</f>
        <v>3</v>
      </c>
      <c r="C53" s="41" t="s">
        <v>745</v>
      </c>
      <c r="D53" s="41" t="str">
        <f>Source!G31</f>
        <v>Разборка покрытий кровель из листовой стали (покрытия вентканалов)</v>
      </c>
      <c r="E53" s="26" t="str">
        <f>Source!H31</f>
        <v>100 м2 покрытия</v>
      </c>
      <c r="F53" s="10">
        <f>Source!I31</f>
        <v>0.186</v>
      </c>
      <c r="G53" s="14">
        <f>Source!AL31+Source!AM31+Source!AO31</f>
        <v>139.46</v>
      </c>
      <c r="H53" s="12"/>
      <c r="I53" s="14"/>
      <c r="J53" s="12" t="str">
        <f>Source!BO31</f>
        <v>46-04-008-2</v>
      </c>
      <c r="K53" s="12"/>
      <c r="L53" s="14"/>
      <c r="M53" s="27"/>
      <c r="S53">
        <f>ROUND((Source!FX31/100)*((ROUND(Source!AF31*Source!I31,2)+ROUND(Source!AE31*Source!I31,2))),2)</f>
        <v>29.21</v>
      </c>
      <c r="T53">
        <f>Source!X31</f>
        <v>286.84</v>
      </c>
      <c r="U53">
        <f>ROUND((Source!FY31/100)*((ROUND(Source!AF31*Source!I31,2)+ROUND(Source!AE31*Source!I31,2))),2)</f>
        <v>17.56</v>
      </c>
      <c r="V53">
        <f>Source!Y31</f>
        <v>173.84</v>
      </c>
    </row>
    <row r="54" spans="1:18" ht="14.25">
      <c r="A54" s="40"/>
      <c r="B54" s="40"/>
      <c r="C54" s="41"/>
      <c r="D54" s="41" t="s">
        <v>737</v>
      </c>
      <c r="E54" s="26"/>
      <c r="F54" s="10"/>
      <c r="G54" s="14">
        <f>Source!AO31</f>
        <v>126.9</v>
      </c>
      <c r="H54" s="12" t="str">
        <f>Source!DG31</f>
        <v>)*1,25</v>
      </c>
      <c r="I54" s="14">
        <f>ROUND(Source!AF31*Source!I31,2)</f>
        <v>29.51</v>
      </c>
      <c r="J54" s="12"/>
      <c r="K54" s="12">
        <f>IF(Source!BA31&lt;&gt;0,Source!BA31,1)</f>
        <v>9.82</v>
      </c>
      <c r="L54" s="14">
        <f>Source!S31</f>
        <v>289.74</v>
      </c>
      <c r="M54" s="27"/>
      <c r="R54">
        <f>I54</f>
        <v>29.51</v>
      </c>
    </row>
    <row r="55" spans="1:13" ht="14.25">
      <c r="A55" s="40"/>
      <c r="B55" s="40"/>
      <c r="C55" s="41"/>
      <c r="D55" s="41" t="s">
        <v>100</v>
      </c>
      <c r="E55" s="26"/>
      <c r="F55" s="10"/>
      <c r="G55" s="14">
        <f>Source!AM31</f>
        <v>12.56</v>
      </c>
      <c r="H55" s="12" t="str">
        <f>Source!DE31</f>
        <v>)*1,25</v>
      </c>
      <c r="I55" s="14">
        <f>ROUND(Source!AD31*Source!I31,2)</f>
        <v>2.92</v>
      </c>
      <c r="J55" s="12"/>
      <c r="K55" s="12">
        <f>IF(Source!BB31&lt;&gt;0,Source!BB31,1)</f>
        <v>5.28</v>
      </c>
      <c r="L55" s="14">
        <f>Source!Q31</f>
        <v>15.42</v>
      </c>
      <c r="M55" s="27"/>
    </row>
    <row r="56" spans="1:13" ht="14.25">
      <c r="A56" s="40"/>
      <c r="B56" s="40"/>
      <c r="C56" s="41"/>
      <c r="D56" s="41" t="s">
        <v>738</v>
      </c>
      <c r="E56" s="26" t="s">
        <v>739</v>
      </c>
      <c r="F56" s="10">
        <f>Source!BZ31</f>
        <v>110</v>
      </c>
      <c r="G56" s="75" t="str">
        <f>CONCATENATE(" )",Source!DL31,Source!FT31,"=",Source!FX31)</f>
        <v> )*0,9=99</v>
      </c>
      <c r="H56" s="76"/>
      <c r="I56" s="14">
        <f>SUM(S53:S58)</f>
        <v>29.21</v>
      </c>
      <c r="J56" s="28"/>
      <c r="K56" s="24">
        <f>Source!AT31</f>
        <v>99</v>
      </c>
      <c r="L56" s="14">
        <f>SUM(T53:T58)</f>
        <v>286.84</v>
      </c>
      <c r="M56" s="27"/>
    </row>
    <row r="57" spans="1:13" ht="14.25">
      <c r="A57" s="40"/>
      <c r="B57" s="40"/>
      <c r="C57" s="41"/>
      <c r="D57" s="41" t="s">
        <v>740</v>
      </c>
      <c r="E57" s="26" t="s">
        <v>739</v>
      </c>
      <c r="F57" s="10">
        <f>Source!CA31</f>
        <v>70</v>
      </c>
      <c r="G57" s="75" t="str">
        <f>CONCATENATE(" )",Source!DM31,Source!FU31,"=",Source!FY31)</f>
        <v> )*0,85=59,5</v>
      </c>
      <c r="H57" s="76"/>
      <c r="I57" s="14">
        <f>SUM(U53:U58)</f>
        <v>17.56</v>
      </c>
      <c r="J57" s="28"/>
      <c r="K57" s="24">
        <f>Source!AU31</f>
        <v>60</v>
      </c>
      <c r="L57" s="14">
        <f>SUM(V53:V58)</f>
        <v>173.84</v>
      </c>
      <c r="M57" s="27"/>
    </row>
    <row r="58" spans="1:13" ht="14.25">
      <c r="A58" s="42"/>
      <c r="B58" s="42"/>
      <c r="C58" s="43"/>
      <c r="D58" s="43" t="s">
        <v>741</v>
      </c>
      <c r="E58" s="29" t="s">
        <v>742</v>
      </c>
      <c r="F58" s="30">
        <f>Source!AQ31</f>
        <v>8.58</v>
      </c>
      <c r="G58" s="31"/>
      <c r="H58" s="32" t="str">
        <f>Source!DI31</f>
        <v>)*1,25</v>
      </c>
      <c r="I58" s="31"/>
      <c r="J58" s="32"/>
      <c r="K58" s="32"/>
      <c r="L58" s="31"/>
      <c r="M58" s="33">
        <f>Source!U31</f>
        <v>1.99485</v>
      </c>
    </row>
    <row r="59" spans="8:26" ht="15">
      <c r="H59" s="74">
        <f>I54+I55+I56+I57</f>
        <v>79.2</v>
      </c>
      <c r="I59" s="74"/>
      <c r="K59" s="74">
        <f>L54+L55+L56+L57</f>
        <v>765.84</v>
      </c>
      <c r="L59" s="74"/>
      <c r="M59" s="34">
        <f>Source!U31</f>
        <v>1.99485</v>
      </c>
      <c r="O59" s="18">
        <f>H59</f>
        <v>79.2</v>
      </c>
      <c r="P59" s="18">
        <f>K59</f>
        <v>765.84</v>
      </c>
      <c r="Q59" s="18">
        <f>M59</f>
        <v>1.99485</v>
      </c>
      <c r="W59">
        <f>IF(Source!BI31&lt;=1,I54+I55+I56+I57,0)</f>
        <v>79.2</v>
      </c>
      <c r="X59">
        <f>IF(Source!BI31=2,I54+I55+I56+I57,0)</f>
        <v>0</v>
      </c>
      <c r="Y59">
        <f>IF(Source!BI31=3,I54+I55+I56+I57,0)</f>
        <v>0</v>
      </c>
      <c r="Z59">
        <f>IF(Source!BI31=4,I54+I55+I56+I57,0)</f>
        <v>0</v>
      </c>
    </row>
    <row r="60" spans="1:22" ht="143.25">
      <c r="A60" s="40">
        <v>5</v>
      </c>
      <c r="B60" s="40" t="str">
        <f>Source!E32</f>
        <v>4</v>
      </c>
      <c r="C60" s="41" t="s">
        <v>746</v>
      </c>
      <c r="D60" s="41" t="str">
        <f>Source!G32</f>
        <v>Демонтаж стропил (подкосы и стропильные доски)</v>
      </c>
      <c r="E60" s="26" t="str">
        <f>Source!H32</f>
        <v>1 м3 древесины в конструкции</v>
      </c>
      <c r="F60" s="10">
        <f>Source!I32</f>
        <v>19.6</v>
      </c>
      <c r="G60" s="14">
        <f>Source!AL32+Source!AM32+Source!AO32</f>
        <v>377.98</v>
      </c>
      <c r="H60" s="12"/>
      <c r="I60" s="14"/>
      <c r="J60" s="12" t="str">
        <f>Source!BO32</f>
        <v>10-02-036-1</v>
      </c>
      <c r="K60" s="12"/>
      <c r="L60" s="14"/>
      <c r="M60" s="27"/>
      <c r="S60">
        <f>ROUND((Source!FX32/100)*((ROUND(Source!AF32*Source!I32,2)+ROUND(Source!AE32*Source!I32,2))),2)</f>
        <v>4405.12</v>
      </c>
      <c r="T60">
        <f>Source!X32</f>
        <v>43176.82</v>
      </c>
      <c r="U60">
        <f>ROUND((Source!FY32/100)*((ROUND(Source!AF32*Source!I32,2)+ROUND(Source!AE32*Source!I32,2))),2)</f>
        <v>2221.23</v>
      </c>
      <c r="V60">
        <f>Source!Y32</f>
        <v>21995.74</v>
      </c>
    </row>
    <row r="61" ht="12.75">
      <c r="D61" s="20" t="str">
        <f>"Объем: "&amp;Source!I32&amp;"=3,8+"&amp;"15,8"</f>
        <v>Объем: 19,6=3,8+15,8</v>
      </c>
    </row>
    <row r="62" spans="1:18" ht="14.25">
      <c r="A62" s="40"/>
      <c r="B62" s="40"/>
      <c r="C62" s="41"/>
      <c r="D62" s="41" t="s">
        <v>737</v>
      </c>
      <c r="E62" s="26"/>
      <c r="F62" s="10"/>
      <c r="G62" s="14">
        <f>Source!AO32</f>
        <v>207.95</v>
      </c>
      <c r="H62" s="12" t="str">
        <f>Source!DG32</f>
        <v>)*0,8)*1,25</v>
      </c>
      <c r="I62" s="14">
        <f>ROUND(Source!AF32*Source!I32,2)</f>
        <v>4075.82</v>
      </c>
      <c r="J62" s="12"/>
      <c r="K62" s="12">
        <f>IF(Source!BA32&lt;&gt;0,Source!BA32,1)</f>
        <v>9.82</v>
      </c>
      <c r="L62" s="14">
        <f>Source!S32</f>
        <v>40024.55</v>
      </c>
      <c r="M62" s="27"/>
      <c r="R62">
        <f>I62</f>
        <v>4075.82</v>
      </c>
    </row>
    <row r="63" spans="1:13" ht="14.25">
      <c r="A63" s="40"/>
      <c r="B63" s="40"/>
      <c r="C63" s="41"/>
      <c r="D63" s="41" t="s">
        <v>100</v>
      </c>
      <c r="E63" s="26"/>
      <c r="F63" s="10"/>
      <c r="G63" s="14">
        <f>Source!AM32</f>
        <v>45.25</v>
      </c>
      <c r="H63" s="12" t="str">
        <f>Source!DE32</f>
        <v>)*0,8)*1,25</v>
      </c>
      <c r="I63" s="14">
        <f>ROUND(Source!AD32*Source!I32,2)</f>
        <v>886.9</v>
      </c>
      <c r="J63" s="12"/>
      <c r="K63" s="12">
        <f>IF(Source!BB32&lt;&gt;0,Source!BB32,1)</f>
        <v>6.44</v>
      </c>
      <c r="L63" s="14">
        <f>Source!Q32</f>
        <v>5711.64</v>
      </c>
      <c r="M63" s="27"/>
    </row>
    <row r="64" spans="1:18" ht="14.25">
      <c r="A64" s="40"/>
      <c r="B64" s="40"/>
      <c r="C64" s="41"/>
      <c r="D64" s="41" t="s">
        <v>744</v>
      </c>
      <c r="E64" s="26"/>
      <c r="F64" s="10"/>
      <c r="G64" s="14">
        <f>Source!AN32</f>
        <v>3.68</v>
      </c>
      <c r="H64" s="12" t="str">
        <f>Source!DF32</f>
        <v>)*0,8)*1,25</v>
      </c>
      <c r="I64" s="35">
        <f>ROUND(Source!AE32*Source!I32,2)</f>
        <v>72.13</v>
      </c>
      <c r="J64" s="12"/>
      <c r="K64" s="12">
        <f>IF(Source!BS32&lt;&gt;0,Source!BS32,1)</f>
        <v>9.82</v>
      </c>
      <c r="L64" s="35">
        <f>Source!R32</f>
        <v>708.3</v>
      </c>
      <c r="M64" s="27"/>
      <c r="R64">
        <f>I64</f>
        <v>72.13</v>
      </c>
    </row>
    <row r="65" spans="1:13" ht="14.25">
      <c r="A65" s="40"/>
      <c r="B65" s="40"/>
      <c r="C65" s="41"/>
      <c r="D65" s="41" t="s">
        <v>738</v>
      </c>
      <c r="E65" s="26" t="s">
        <v>739</v>
      </c>
      <c r="F65" s="10">
        <f>Source!BZ32</f>
        <v>118</v>
      </c>
      <c r="G65" s="75" t="str">
        <f>CONCATENATE(" )",Source!DL32,Source!FT32,"=",Source!FX32)</f>
        <v> )*0,9=106,2</v>
      </c>
      <c r="H65" s="76"/>
      <c r="I65" s="14">
        <f>SUM(S60:S67)</f>
        <v>4405.12</v>
      </c>
      <c r="J65" s="28"/>
      <c r="K65" s="24">
        <f>Source!AT32</f>
        <v>106</v>
      </c>
      <c r="L65" s="14">
        <f>SUM(T60:T67)</f>
        <v>43176.82</v>
      </c>
      <c r="M65" s="27"/>
    </row>
    <row r="66" spans="1:13" ht="14.25">
      <c r="A66" s="40"/>
      <c r="B66" s="40"/>
      <c r="C66" s="41"/>
      <c r="D66" s="41" t="s">
        <v>740</v>
      </c>
      <c r="E66" s="26" t="s">
        <v>739</v>
      </c>
      <c r="F66" s="10">
        <f>Source!CA32</f>
        <v>63</v>
      </c>
      <c r="G66" s="75" t="str">
        <f>CONCATENATE(" )",Source!DM32,Source!FU32,"=",Source!FY32)</f>
        <v> )*0,85=53,55</v>
      </c>
      <c r="H66" s="76"/>
      <c r="I66" s="14">
        <f>SUM(U60:U67)</f>
        <v>2221.23</v>
      </c>
      <c r="J66" s="28"/>
      <c r="K66" s="24">
        <f>Source!AU32</f>
        <v>54</v>
      </c>
      <c r="L66" s="14">
        <f>SUM(V60:V67)</f>
        <v>21995.74</v>
      </c>
      <c r="M66" s="27"/>
    </row>
    <row r="67" spans="1:13" ht="14.25">
      <c r="A67" s="42"/>
      <c r="B67" s="42"/>
      <c r="C67" s="43"/>
      <c r="D67" s="43" t="s">
        <v>741</v>
      </c>
      <c r="E67" s="29" t="s">
        <v>742</v>
      </c>
      <c r="F67" s="30">
        <f>Source!AQ32</f>
        <v>12.86</v>
      </c>
      <c r="G67" s="31"/>
      <c r="H67" s="32" t="str">
        <f>Source!DI32</f>
        <v>)*0,8)*1,25</v>
      </c>
      <c r="I67" s="31"/>
      <c r="J67" s="32"/>
      <c r="K67" s="32"/>
      <c r="L67" s="31"/>
      <c r="M67" s="33">
        <f>Source!U32</f>
        <v>252.056</v>
      </c>
    </row>
    <row r="68" spans="8:26" ht="15">
      <c r="H68" s="74">
        <f>I62+I63+I65+I66</f>
        <v>11589.07</v>
      </c>
      <c r="I68" s="74"/>
      <c r="K68" s="74">
        <f>L62+L63+L65+L66</f>
        <v>110908.75000000001</v>
      </c>
      <c r="L68" s="74"/>
      <c r="M68" s="34">
        <f>Source!U32</f>
        <v>252.056</v>
      </c>
      <c r="O68" s="18">
        <f>H68</f>
        <v>11589.07</v>
      </c>
      <c r="P68" s="18">
        <f>K68</f>
        <v>110908.75000000001</v>
      </c>
      <c r="Q68" s="18">
        <f>M68</f>
        <v>252.056</v>
      </c>
      <c r="W68">
        <f>IF(Source!BI32&lt;=1,I62+I63+I65+I66,0)</f>
        <v>11589.07</v>
      </c>
      <c r="X68">
        <f>IF(Source!BI32=2,I62+I63+I65+I66,0)</f>
        <v>0</v>
      </c>
      <c r="Y68">
        <f>IF(Source!BI32=3,I62+I63+I65+I66,0)</f>
        <v>0</v>
      </c>
      <c r="Z68">
        <f>IF(Source!BI32=4,I62+I63+I65+I66,0)</f>
        <v>0</v>
      </c>
    </row>
    <row r="69" spans="1:22" ht="78">
      <c r="A69" s="40">
        <v>6</v>
      </c>
      <c r="B69" s="40" t="str">
        <f>Source!E33</f>
        <v>5</v>
      </c>
      <c r="C69" s="41" t="s">
        <v>747</v>
      </c>
      <c r="D69" s="41" t="str">
        <f>Source!G33</f>
        <v>Разборка изоляции на кровле (рубероид)</v>
      </c>
      <c r="E69" s="26" t="str">
        <f>Source!H33</f>
        <v>100 М2 ПОКРЫТИЯ КРОВЛИ</v>
      </c>
      <c r="F69" s="10">
        <f>Source!I33</f>
        <v>5.6</v>
      </c>
      <c r="G69" s="14">
        <f>Source!AL33+Source!AM33+Source!AO33</f>
        <v>136.41</v>
      </c>
      <c r="H69" s="12"/>
      <c r="I69" s="14"/>
      <c r="J69" s="12" t="str">
        <f>Source!BO33</f>
        <v>58-17-1</v>
      </c>
      <c r="K69" s="12"/>
      <c r="L69" s="14"/>
      <c r="M69" s="27"/>
      <c r="S69">
        <f>ROUND((Source!FX33/100)*((ROUND(Source!AF33*Source!I33,2)+ROUND(Source!AE33*Source!I33,2))),2)</f>
        <v>791.46</v>
      </c>
      <c r="T69">
        <f>Source!X33</f>
        <v>7772.15</v>
      </c>
      <c r="U69">
        <f>ROUND((Source!FY33/100)*((ROUND(Source!AF33*Source!I33,2)+ROUND(Source!AE33*Source!I33,2))),2)</f>
        <v>619.82</v>
      </c>
      <c r="V69">
        <f>Source!Y33</f>
        <v>6086.63</v>
      </c>
    </row>
    <row r="70" spans="1:18" ht="14.25">
      <c r="A70" s="40"/>
      <c r="B70" s="40"/>
      <c r="C70" s="41"/>
      <c r="D70" s="41" t="s">
        <v>737</v>
      </c>
      <c r="E70" s="26"/>
      <c r="F70" s="10"/>
      <c r="G70" s="14">
        <f>Source!AO33</f>
        <v>136.22</v>
      </c>
      <c r="H70" s="12" t="str">
        <f>Source!DG33</f>
        <v>)*1,25</v>
      </c>
      <c r="I70" s="14">
        <f>ROUND(Source!AF33*Source!I33,2)</f>
        <v>953.57</v>
      </c>
      <c r="J70" s="12"/>
      <c r="K70" s="12">
        <f>IF(Source!BA33&lt;&gt;0,Source!BA33,1)</f>
        <v>9.82</v>
      </c>
      <c r="L70" s="14">
        <f>Source!S33</f>
        <v>9364.04</v>
      </c>
      <c r="M70" s="27"/>
      <c r="R70">
        <f>I70</f>
        <v>953.57</v>
      </c>
    </row>
    <row r="71" spans="1:13" ht="14.25">
      <c r="A71" s="40"/>
      <c r="B71" s="40"/>
      <c r="C71" s="41"/>
      <c r="D71" s="41" t="s">
        <v>100</v>
      </c>
      <c r="E71" s="26"/>
      <c r="F71" s="10"/>
      <c r="G71" s="14">
        <f>Source!AM33</f>
        <v>0.19</v>
      </c>
      <c r="H71" s="12" t="str">
        <f>Source!DE33</f>
        <v>)*1,25</v>
      </c>
      <c r="I71" s="14">
        <f>ROUND(Source!AD33*Source!I33,2)</f>
        <v>1.34</v>
      </c>
      <c r="J71" s="12"/>
      <c r="K71" s="12">
        <f>IF(Source!BB33&lt;&gt;0,Source!BB33,1)</f>
        <v>7.05</v>
      </c>
      <c r="L71" s="14">
        <f>Source!Q33</f>
        <v>9.48</v>
      </c>
      <c r="M71" s="27"/>
    </row>
    <row r="72" spans="1:13" ht="14.25">
      <c r="A72" s="40"/>
      <c r="B72" s="40"/>
      <c r="C72" s="41"/>
      <c r="D72" s="41" t="s">
        <v>738</v>
      </c>
      <c r="E72" s="26" t="s">
        <v>739</v>
      </c>
      <c r="F72" s="10">
        <f>Source!BZ33</f>
        <v>83</v>
      </c>
      <c r="G72" s="44"/>
      <c r="H72" s="12"/>
      <c r="I72" s="14">
        <f>SUM(S69:S75)</f>
        <v>791.46</v>
      </c>
      <c r="J72" s="28"/>
      <c r="K72" s="24">
        <f>Source!AT33</f>
        <v>83</v>
      </c>
      <c r="L72" s="14">
        <f>SUM(T69:T75)</f>
        <v>7772.15</v>
      </c>
      <c r="M72" s="27"/>
    </row>
    <row r="73" spans="1:13" ht="14.25">
      <c r="A73" s="40"/>
      <c r="B73" s="40"/>
      <c r="C73" s="41"/>
      <c r="D73" s="41" t="s">
        <v>740</v>
      </c>
      <c r="E73" s="26" t="s">
        <v>739</v>
      </c>
      <c r="F73" s="10">
        <f>Source!CA33</f>
        <v>65</v>
      </c>
      <c r="G73" s="44"/>
      <c r="H73" s="12"/>
      <c r="I73" s="14">
        <f>SUM(U69:U75)</f>
        <v>619.82</v>
      </c>
      <c r="J73" s="28"/>
      <c r="K73" s="24">
        <f>Source!AU33</f>
        <v>65</v>
      </c>
      <c r="L73" s="14">
        <f>SUM(V69:V75)</f>
        <v>6086.63</v>
      </c>
      <c r="M73" s="27"/>
    </row>
    <row r="74" spans="1:13" ht="14.25">
      <c r="A74" s="40"/>
      <c r="B74" s="40"/>
      <c r="C74" s="41"/>
      <c r="D74" s="41" t="s">
        <v>741</v>
      </c>
      <c r="E74" s="26" t="s">
        <v>742</v>
      </c>
      <c r="F74" s="10">
        <f>Source!AQ33</f>
        <v>9.21</v>
      </c>
      <c r="G74" s="14"/>
      <c r="H74" s="12" t="str">
        <f>Source!DI33</f>
        <v>)*1,25</v>
      </c>
      <c r="I74" s="14"/>
      <c r="J74" s="12"/>
      <c r="K74" s="12"/>
      <c r="L74" s="14"/>
      <c r="M74" s="36">
        <f>Source!U33</f>
        <v>64.47</v>
      </c>
    </row>
    <row r="75" spans="1:26" ht="14.25">
      <c r="A75" s="42">
        <v>7</v>
      </c>
      <c r="B75" s="42" t="str">
        <f>Source!E34</f>
        <v>5,1</v>
      </c>
      <c r="C75" s="43" t="str">
        <f>Source!F34</f>
        <v>509-9900</v>
      </c>
      <c r="D75" s="43" t="str">
        <f>Source!G34</f>
        <v>Строительный мусор</v>
      </c>
      <c r="E75" s="29" t="str">
        <f>Source!H34</f>
        <v>т</v>
      </c>
      <c r="F75" s="30">
        <f>Source!I34</f>
        <v>0.56</v>
      </c>
      <c r="G75" s="31">
        <f>Source!AL34+Source!AM34+Source!AO34</f>
        <v>0</v>
      </c>
      <c r="H75" s="37" t="s">
        <v>3</v>
      </c>
      <c r="I75" s="31">
        <f>ROUND(Source!AC34*Source!I34,2)+ROUND(Source!AD34*Source!I34,2)+ROUND(Source!AF34*Source!I34,2)</f>
        <v>0</v>
      </c>
      <c r="J75" s="32"/>
      <c r="K75" s="32">
        <f>IF(Source!BC34&lt;&gt;0,Source!BC34,1)</f>
        <v>1</v>
      </c>
      <c r="L75" s="31">
        <f>Source!O34</f>
        <v>0</v>
      </c>
      <c r="M75" s="38"/>
      <c r="S75">
        <f>ROUND((Source!FX34/100)*((ROUND(Source!AF34*Source!I34,2)+ROUND(Source!AE34*Source!I34,2))),2)</f>
        <v>0</v>
      </c>
      <c r="T75">
        <f>Source!X34</f>
        <v>0</v>
      </c>
      <c r="U75">
        <f>ROUND((Source!FY34/100)*((ROUND(Source!AF34*Source!I34,2)+ROUND(Source!AE34*Source!I34,2))),2)</f>
        <v>0</v>
      </c>
      <c r="V75">
        <f>Source!Y34</f>
        <v>0</v>
      </c>
      <c r="W75">
        <f>IF(Source!BI34&lt;=1,I75,0)</f>
        <v>0</v>
      </c>
      <c r="X75">
        <f>IF(Source!BI34=2,I75,0)</f>
        <v>0</v>
      </c>
      <c r="Y75">
        <f>IF(Source!BI34=3,I75,0)</f>
        <v>0</v>
      </c>
      <c r="Z75">
        <f>IF(Source!BI34=4,I75,0)</f>
        <v>0</v>
      </c>
    </row>
    <row r="76" spans="8:26" ht="15">
      <c r="H76" s="74">
        <f>I70+I71+I72+I73+SUM(I75:I75)</f>
        <v>2366.19</v>
      </c>
      <c r="I76" s="74"/>
      <c r="K76" s="74">
        <f>L70+L71+L72+L73+SUM(L75:L75)</f>
        <v>23232.3</v>
      </c>
      <c r="L76" s="74"/>
      <c r="M76" s="34">
        <f>Source!U33</f>
        <v>64.47</v>
      </c>
      <c r="O76" s="18">
        <f>H76</f>
        <v>2366.19</v>
      </c>
      <c r="P76" s="18">
        <f>K76</f>
        <v>23232.3</v>
      </c>
      <c r="Q76" s="18">
        <f>M76</f>
        <v>64.47</v>
      </c>
      <c r="W76">
        <f>IF(Source!BI33&lt;=1,I70+I71+I72+I73,0)</f>
        <v>2366.19</v>
      </c>
      <c r="X76">
        <f>IF(Source!BI33=2,I70+I71+I72+I73,0)</f>
        <v>0</v>
      </c>
      <c r="Y76">
        <f>IF(Source!BI33=3,I70+I71+I72+I73,0)</f>
        <v>0</v>
      </c>
      <c r="Z76">
        <f>IF(Source!BI33=4,I70+I71+I72+I73,0)</f>
        <v>0</v>
      </c>
    </row>
    <row r="77" spans="1:22" ht="78">
      <c r="A77" s="40">
        <v>8</v>
      </c>
      <c r="B77" s="40" t="str">
        <f>Source!E35</f>
        <v>6</v>
      </c>
      <c r="C77" s="41" t="s">
        <v>748</v>
      </c>
      <c r="D77" s="41" t="str">
        <f>Source!G35</f>
        <v>Прочистка вентиляционных каналов</v>
      </c>
      <c r="E77" s="26" t="str">
        <f>Source!H35</f>
        <v>100 М КАНАЛА</v>
      </c>
      <c r="F77" s="10">
        <f>Source!I35</f>
        <v>0.99</v>
      </c>
      <c r="G77" s="14">
        <f>Source!AL35+Source!AM35+Source!AO35</f>
        <v>338.46</v>
      </c>
      <c r="H77" s="12"/>
      <c r="I77" s="14"/>
      <c r="J77" s="12" t="str">
        <f>Source!BO35</f>
        <v>65-35-1</v>
      </c>
      <c r="K77" s="12"/>
      <c r="L77" s="14"/>
      <c r="M77" s="27"/>
      <c r="S77">
        <f>ROUND((Source!FX35/100)*((ROUND(Source!AF35*Source!I35,2)+ROUND(Source!AE35*Source!I35,2))),2)</f>
        <v>277.14</v>
      </c>
      <c r="T77">
        <f>Source!X35</f>
        <v>2721.47</v>
      </c>
      <c r="U77">
        <f>ROUND((Source!FY35/100)*((ROUND(Source!AF35*Source!I35,2)+ROUND(Source!AE35*Source!I35,2))),2)</f>
        <v>187.26</v>
      </c>
      <c r="V77">
        <f>Source!Y35</f>
        <v>1838.83</v>
      </c>
    </row>
    <row r="78" spans="1:18" ht="14.25">
      <c r="A78" s="40"/>
      <c r="B78" s="40"/>
      <c r="C78" s="41"/>
      <c r="D78" s="41" t="s">
        <v>737</v>
      </c>
      <c r="E78" s="26"/>
      <c r="F78" s="10"/>
      <c r="G78" s="14">
        <f>Source!AO35</f>
        <v>302.38</v>
      </c>
      <c r="H78" s="12" t="str">
        <f>Source!DG35</f>
        <v>)*1,25</v>
      </c>
      <c r="I78" s="14">
        <f>ROUND(Source!AF35*Source!I35,2)</f>
        <v>374.2</v>
      </c>
      <c r="J78" s="12"/>
      <c r="K78" s="12">
        <f>IF(Source!BA35&lt;&gt;0,Source!BA35,1)</f>
        <v>9.82</v>
      </c>
      <c r="L78" s="14">
        <f>Source!S35</f>
        <v>3674.65</v>
      </c>
      <c r="M78" s="27"/>
      <c r="R78">
        <f>I78</f>
        <v>374.2</v>
      </c>
    </row>
    <row r="79" spans="1:13" ht="14.25">
      <c r="A79" s="40"/>
      <c r="B79" s="40"/>
      <c r="C79" s="41"/>
      <c r="D79" s="41" t="s">
        <v>100</v>
      </c>
      <c r="E79" s="26"/>
      <c r="F79" s="10"/>
      <c r="G79" s="14">
        <f>Source!AM35</f>
        <v>0.42</v>
      </c>
      <c r="H79" s="12" t="str">
        <f>Source!DE35</f>
        <v>)*1,25</v>
      </c>
      <c r="I79" s="14">
        <f>ROUND(Source!AD35*Source!I35,2)</f>
        <v>0.51</v>
      </c>
      <c r="J79" s="12"/>
      <c r="K79" s="12">
        <f>IF(Source!BB35&lt;&gt;0,Source!BB35,1)</f>
        <v>6.97</v>
      </c>
      <c r="L79" s="14">
        <f>Source!Q35</f>
        <v>3.59</v>
      </c>
      <c r="M79" s="27"/>
    </row>
    <row r="80" spans="1:18" ht="14.25">
      <c r="A80" s="40"/>
      <c r="B80" s="40"/>
      <c r="C80" s="41"/>
      <c r="D80" s="41" t="s">
        <v>744</v>
      </c>
      <c r="E80" s="26"/>
      <c r="F80" s="10"/>
      <c r="G80" s="14">
        <f>Source!AN35</f>
        <v>0.25</v>
      </c>
      <c r="H80" s="12" t="str">
        <f>Source!DF35</f>
        <v>)*1,25</v>
      </c>
      <c r="I80" s="35">
        <f>ROUND(Source!AE35*Source!I35,2)</f>
        <v>0.31</v>
      </c>
      <c r="J80" s="12"/>
      <c r="K80" s="12">
        <f>IF(Source!BS35&lt;&gt;0,Source!BS35,1)</f>
        <v>9.82</v>
      </c>
      <c r="L80" s="35">
        <f>Source!R35</f>
        <v>3.01</v>
      </c>
      <c r="M80" s="27"/>
      <c r="R80">
        <f>I80</f>
        <v>0.31</v>
      </c>
    </row>
    <row r="81" spans="1:13" ht="14.25">
      <c r="A81" s="40"/>
      <c r="B81" s="40"/>
      <c r="C81" s="41"/>
      <c r="D81" s="41" t="s">
        <v>749</v>
      </c>
      <c r="E81" s="26"/>
      <c r="F81" s="10"/>
      <c r="G81" s="14">
        <f>Source!AL35</f>
        <v>35.66</v>
      </c>
      <c r="H81" s="12">
        <f>Source!DD35</f>
      </c>
      <c r="I81" s="14">
        <f>ROUND(Source!AC35*Source!I35,2)</f>
        <v>35.3</v>
      </c>
      <c r="J81" s="12"/>
      <c r="K81" s="12">
        <f>IF(Source!BC35&lt;&gt;0,Source!BC35,1)</f>
        <v>6.14</v>
      </c>
      <c r="L81" s="14">
        <f>Source!P35</f>
        <v>216.76</v>
      </c>
      <c r="M81" s="27"/>
    </row>
    <row r="82" spans="1:13" ht="14.25">
      <c r="A82" s="40"/>
      <c r="B82" s="40"/>
      <c r="C82" s="41"/>
      <c r="D82" s="41" t="s">
        <v>738</v>
      </c>
      <c r="E82" s="26" t="s">
        <v>739</v>
      </c>
      <c r="F82" s="10">
        <f>Source!BZ35</f>
        <v>74</v>
      </c>
      <c r="G82" s="44"/>
      <c r="H82" s="12"/>
      <c r="I82" s="14">
        <f>SUM(S77:S84)</f>
        <v>277.14</v>
      </c>
      <c r="J82" s="28"/>
      <c r="K82" s="24">
        <f>Source!AT35</f>
        <v>74</v>
      </c>
      <c r="L82" s="14">
        <f>SUM(T77:T84)</f>
        <v>2721.47</v>
      </c>
      <c r="M82" s="27"/>
    </row>
    <row r="83" spans="1:13" ht="14.25">
      <c r="A83" s="40"/>
      <c r="B83" s="40"/>
      <c r="C83" s="41"/>
      <c r="D83" s="41" t="s">
        <v>740</v>
      </c>
      <c r="E83" s="26" t="s">
        <v>739</v>
      </c>
      <c r="F83" s="10">
        <f>Source!CA35</f>
        <v>50</v>
      </c>
      <c r="G83" s="44"/>
      <c r="H83" s="12"/>
      <c r="I83" s="14">
        <f>SUM(U77:U84)</f>
        <v>187.26</v>
      </c>
      <c r="J83" s="28"/>
      <c r="K83" s="24">
        <f>Source!AU35</f>
        <v>50</v>
      </c>
      <c r="L83" s="14">
        <f>SUM(V77:V84)</f>
        <v>1838.83</v>
      </c>
      <c r="M83" s="27"/>
    </row>
    <row r="84" spans="1:13" ht="14.25">
      <c r="A84" s="42"/>
      <c r="B84" s="42"/>
      <c r="C84" s="43"/>
      <c r="D84" s="43" t="s">
        <v>741</v>
      </c>
      <c r="E84" s="29" t="s">
        <v>742</v>
      </c>
      <c r="F84" s="30">
        <f>Source!AQ35</f>
        <v>18.7</v>
      </c>
      <c r="G84" s="31"/>
      <c r="H84" s="32" t="str">
        <f>Source!DI35</f>
        <v>)*1,25</v>
      </c>
      <c r="I84" s="31"/>
      <c r="J84" s="32"/>
      <c r="K84" s="32"/>
      <c r="L84" s="31"/>
      <c r="M84" s="33">
        <f>Source!U35</f>
        <v>23.14125</v>
      </c>
    </row>
    <row r="85" spans="8:26" ht="15">
      <c r="H85" s="74">
        <f>I78+I79+I81+I82+I83</f>
        <v>874.41</v>
      </c>
      <c r="I85" s="74"/>
      <c r="K85" s="74">
        <f>L78+L79+L81+L82+L83</f>
        <v>8455.3</v>
      </c>
      <c r="L85" s="74"/>
      <c r="M85" s="34">
        <f>Source!U35</f>
        <v>23.14125</v>
      </c>
      <c r="O85" s="18">
        <f>H85</f>
        <v>874.41</v>
      </c>
      <c r="P85" s="18">
        <f>K85</f>
        <v>8455.3</v>
      </c>
      <c r="Q85" s="18">
        <f>M85</f>
        <v>23.14125</v>
      </c>
      <c r="W85">
        <f>IF(Source!BI35&lt;=1,I78+I79+I81+I82+I83,0)</f>
        <v>874.41</v>
      </c>
      <c r="X85">
        <f>IF(Source!BI35=2,I78+I79+I81+I82+I83,0)</f>
        <v>0</v>
      </c>
      <c r="Y85">
        <f>IF(Source!BI35=3,I78+I79+I81+I82+I83,0)</f>
        <v>0</v>
      </c>
      <c r="Z85">
        <f>IF(Source!BI35=4,I78+I79+I81+I82+I83,0)</f>
        <v>0</v>
      </c>
    </row>
    <row r="86" spans="1:22" ht="130.5">
      <c r="A86" s="40">
        <v>9</v>
      </c>
      <c r="B86" s="40" t="str">
        <f>Source!E36</f>
        <v>7</v>
      </c>
      <c r="C86" s="41" t="s">
        <v>750</v>
      </c>
      <c r="D86" s="41" t="str">
        <f>Source!G36</f>
        <v>Разборка сыпучего утеплителя по перекрытию с полной зачисткой</v>
      </c>
      <c r="E86" s="26" t="str">
        <f>Source!H36</f>
        <v>1 м3 изоляции</v>
      </c>
      <c r="F86" s="10">
        <f>Source!I36</f>
        <v>62</v>
      </c>
      <c r="G86" s="14">
        <f>Source!AL36+Source!AM36+Source!AO36</f>
        <v>1209.81</v>
      </c>
      <c r="H86" s="12"/>
      <c r="I86" s="14"/>
      <c r="J86" s="12" t="str">
        <f>Source!BO36</f>
        <v>26-01-041-2</v>
      </c>
      <c r="K86" s="12"/>
      <c r="L86" s="14"/>
      <c r="M86" s="27"/>
      <c r="S86">
        <f>ROUND((Source!FX36/100)*((ROUND(Source!AF36*Source!I36,2)+ROUND(Source!AE36*Source!I36,2))),2)</f>
        <v>8484.95</v>
      </c>
      <c r="T86">
        <f>Source!X36</f>
        <v>83322.19</v>
      </c>
      <c r="U86">
        <f>ROUND((Source!FY36/100)*((ROUND(Source!AF36*Source!I36,2)+ROUND(Source!AE36*Source!I36,2))),2)</f>
        <v>5609.49</v>
      </c>
      <c r="V86">
        <f>Source!Y36</f>
        <v>55548.13</v>
      </c>
    </row>
    <row r="87" spans="1:18" ht="14.25">
      <c r="A87" s="40"/>
      <c r="B87" s="40"/>
      <c r="C87" s="41"/>
      <c r="D87" s="41" t="s">
        <v>737</v>
      </c>
      <c r="E87" s="26"/>
      <c r="F87" s="10"/>
      <c r="G87" s="14">
        <f>Source!AO36</f>
        <v>165.28</v>
      </c>
      <c r="H87" s="12" t="str">
        <f>Source!DG36</f>
        <v>)*1,15)*0,8</v>
      </c>
      <c r="I87" s="14">
        <f>ROUND(Source!AF36*Source!I36,2)</f>
        <v>9427.72</v>
      </c>
      <c r="J87" s="12"/>
      <c r="K87" s="12">
        <f>IF(Source!BA36&lt;&gt;0,Source!BA36,1)</f>
        <v>9.82</v>
      </c>
      <c r="L87" s="14">
        <f>Source!S36</f>
        <v>92580.21</v>
      </c>
      <c r="M87" s="27"/>
      <c r="R87">
        <f>I87</f>
        <v>9427.72</v>
      </c>
    </row>
    <row r="88" spans="1:13" ht="14.25">
      <c r="A88" s="40"/>
      <c r="B88" s="40"/>
      <c r="C88" s="41"/>
      <c r="D88" s="41" t="s">
        <v>100</v>
      </c>
      <c r="E88" s="26"/>
      <c r="F88" s="10"/>
      <c r="G88" s="14">
        <f>Source!AM36</f>
        <v>52.59</v>
      </c>
      <c r="H88" s="12" t="str">
        <f>Source!DE36</f>
        <v>)*1,25)*0,8</v>
      </c>
      <c r="I88" s="14">
        <f>ROUND(Source!AD36*Source!I36,2)</f>
        <v>3260.58</v>
      </c>
      <c r="J88" s="12"/>
      <c r="K88" s="12">
        <f>IF(Source!BB36&lt;&gt;0,Source!BB36,1)</f>
        <v>5.73</v>
      </c>
      <c r="L88" s="14">
        <f>Source!Q36</f>
        <v>18683.12</v>
      </c>
      <c r="M88" s="27"/>
    </row>
    <row r="89" spans="1:13" ht="14.25">
      <c r="A89" s="40"/>
      <c r="B89" s="40"/>
      <c r="C89" s="41"/>
      <c r="D89" s="41" t="s">
        <v>738</v>
      </c>
      <c r="E89" s="26" t="s">
        <v>739</v>
      </c>
      <c r="F89" s="10">
        <f>Source!BZ36</f>
        <v>100</v>
      </c>
      <c r="G89" s="75" t="str">
        <f>CONCATENATE(" )",Source!DL36,Source!FT36,"=",Source!FX36)</f>
        <v> )*0,9=90</v>
      </c>
      <c r="H89" s="76"/>
      <c r="I89" s="14">
        <f>SUM(S86:S91)</f>
        <v>8484.95</v>
      </c>
      <c r="J89" s="28"/>
      <c r="K89" s="24">
        <f>Source!AT36</f>
        <v>90</v>
      </c>
      <c r="L89" s="14">
        <f>SUM(T86:T91)</f>
        <v>83322.19</v>
      </c>
      <c r="M89" s="27"/>
    </row>
    <row r="90" spans="1:13" ht="14.25">
      <c r="A90" s="40"/>
      <c r="B90" s="40"/>
      <c r="C90" s="41"/>
      <c r="D90" s="41" t="s">
        <v>740</v>
      </c>
      <c r="E90" s="26" t="s">
        <v>739</v>
      </c>
      <c r="F90" s="10">
        <f>Source!CA36</f>
        <v>70</v>
      </c>
      <c r="G90" s="75" t="str">
        <f>CONCATENATE(" )",Source!DM36,Source!FU36,"=",Source!FY36)</f>
        <v> )*0,85=59,5</v>
      </c>
      <c r="H90" s="76"/>
      <c r="I90" s="14">
        <f>SUM(U86:U91)</f>
        <v>5609.49</v>
      </c>
      <c r="J90" s="28"/>
      <c r="K90" s="24">
        <f>Source!AU36</f>
        <v>60</v>
      </c>
      <c r="L90" s="14">
        <f>SUM(V86:V91)</f>
        <v>55548.13</v>
      </c>
      <c r="M90" s="27"/>
    </row>
    <row r="91" spans="1:13" ht="14.25">
      <c r="A91" s="42"/>
      <c r="B91" s="42"/>
      <c r="C91" s="43"/>
      <c r="D91" s="43" t="s">
        <v>741</v>
      </c>
      <c r="E91" s="29" t="s">
        <v>742</v>
      </c>
      <c r="F91" s="30">
        <f>Source!AQ36</f>
        <v>9.27</v>
      </c>
      <c r="G91" s="31"/>
      <c r="H91" s="32" t="str">
        <f>Source!DI36</f>
        <v>)*1,15)*0,8</v>
      </c>
      <c r="I91" s="31"/>
      <c r="J91" s="32"/>
      <c r="K91" s="32"/>
      <c r="L91" s="31"/>
      <c r="M91" s="33">
        <f>Source!U36</f>
        <v>528.7608</v>
      </c>
    </row>
    <row r="92" spans="8:26" ht="15">
      <c r="H92" s="74">
        <f>I87+I88+I89+I90</f>
        <v>26782.739999999998</v>
      </c>
      <c r="I92" s="74"/>
      <c r="K92" s="74">
        <f>L87+L88+L89+L90</f>
        <v>250133.65000000002</v>
      </c>
      <c r="L92" s="74"/>
      <c r="M92" s="34">
        <f>Source!U36</f>
        <v>528.7608</v>
      </c>
      <c r="O92" s="18">
        <f>H92</f>
        <v>26782.739999999998</v>
      </c>
      <c r="P92" s="18">
        <f>K92</f>
        <v>250133.65000000002</v>
      </c>
      <c r="Q92" s="18">
        <f>M92</f>
        <v>528.7608</v>
      </c>
      <c r="W92">
        <f>IF(Source!BI36&lt;=1,I87+I88+I89+I90,0)</f>
        <v>26782.739999999998</v>
      </c>
      <c r="X92">
        <f>IF(Source!BI36=2,I87+I88+I89+I90,0)</f>
        <v>0</v>
      </c>
      <c r="Y92">
        <f>IF(Source!BI36=3,I87+I88+I89+I90,0)</f>
        <v>0</v>
      </c>
      <c r="Z92">
        <f>IF(Source!BI36=4,I87+I88+I89+I90,0)</f>
        <v>0</v>
      </c>
    </row>
    <row r="94" spans="1:13" ht="15">
      <c r="A94" s="73" t="str">
        <f>CONCATENATE("Итого по разделу: ",IF(Source!G38&lt;&gt;"Новый раздел",Source!G38,""))</f>
        <v>Итого по разделу: 1. Демонтажные работы</v>
      </c>
      <c r="B94" s="73"/>
      <c r="C94" s="73"/>
      <c r="D94" s="73"/>
      <c r="E94" s="73"/>
      <c r="F94" s="73"/>
      <c r="G94" s="73"/>
      <c r="H94" s="72">
        <f>SUM(O36:O93)</f>
        <v>66505.68</v>
      </c>
      <c r="I94" s="72"/>
      <c r="J94" s="23"/>
      <c r="K94" s="72">
        <f>SUM(P36:P93)</f>
        <v>633487.8</v>
      </c>
      <c r="L94" s="72"/>
      <c r="M94" s="34">
        <f>SUM(Q36:Q93)</f>
        <v>1488.8729000000003</v>
      </c>
    </row>
    <row r="97" spans="1:13" ht="16.5">
      <c r="A97" s="71" t="str">
        <f>CONCATENATE("Раздел: ",IF(Source!G67&lt;&gt;"Новый раздел",Source!G67,""))</f>
        <v>Раздел: 2. Строительные работы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9" spans="1:13" ht="16.5">
      <c r="A99" s="71" t="str">
        <f>CONCATENATE("Подраздел: ",IF(Source!G71&lt;&gt;"Новый подраздел",Source!G71,""))</f>
        <v>Подраздел: 2.1. Крыша и кровля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  <row r="100" spans="1:22" ht="143.25">
      <c r="A100" s="40">
        <v>10</v>
      </c>
      <c r="B100" s="40" t="str">
        <f>Source!E75</f>
        <v>8</v>
      </c>
      <c r="C100" s="41" t="s">
        <v>751</v>
      </c>
      <c r="D100" s="41" t="str">
        <f>Source!G75</f>
        <v>Зачеканка отверстии кирпичных вентканалов силикатным кирпичем (Кирпич силикатный 250х120х65)</v>
      </c>
      <c r="E100" s="26" t="str">
        <f>Source!H75</f>
        <v>1 м3 кладки</v>
      </c>
      <c r="F100" s="10">
        <f>Source!I75</f>
        <v>0.2</v>
      </c>
      <c r="G100" s="14">
        <f>Source!AL75+Source!AM75+Source!AO75</f>
        <v>1077.6499999999999</v>
      </c>
      <c r="H100" s="12"/>
      <c r="I100" s="14"/>
      <c r="J100" s="12" t="str">
        <f>Source!BO75</f>
        <v>08-02-001-1</v>
      </c>
      <c r="K100" s="12"/>
      <c r="L100" s="14"/>
      <c r="M100" s="27"/>
      <c r="S100">
        <f>ROUND((Source!FX75/100)*((ROUND(Source!AF75*Source!I75,2)+ROUND(Source!AE75*Source!I75,2))),2)</f>
        <v>30.24</v>
      </c>
      <c r="T100">
        <f>Source!X75</f>
        <v>297.41</v>
      </c>
      <c r="U100">
        <f>ROUND((Source!FY75/100)*((ROUND(Source!AF75*Source!I75,2)+ROUND(Source!AE75*Source!I75,2))),2)</f>
        <v>18.73</v>
      </c>
      <c r="V100">
        <f>Source!Y75</f>
        <v>183.85</v>
      </c>
    </row>
    <row r="101" spans="1:18" ht="14.25">
      <c r="A101" s="40"/>
      <c r="B101" s="40"/>
      <c r="C101" s="41"/>
      <c r="D101" s="41" t="s">
        <v>737</v>
      </c>
      <c r="E101" s="26"/>
      <c r="F101" s="10"/>
      <c r="G101" s="14">
        <f>Source!AO75</f>
        <v>85.1</v>
      </c>
      <c r="H101" s="12" t="str">
        <f>Source!DG75</f>
        <v>)*1,15)*1,25</v>
      </c>
      <c r="I101" s="14">
        <f>ROUND(Source!AF75*Source!I75,2)</f>
        <v>24.47</v>
      </c>
      <c r="J101" s="12"/>
      <c r="K101" s="12">
        <f>IF(Source!BA75&lt;&gt;0,Source!BA75,1)</f>
        <v>9.82</v>
      </c>
      <c r="L101" s="14">
        <f>Source!S75</f>
        <v>240.26</v>
      </c>
      <c r="M101" s="27"/>
      <c r="R101">
        <f>I101</f>
        <v>24.47</v>
      </c>
    </row>
    <row r="102" spans="1:13" ht="14.25">
      <c r="A102" s="40"/>
      <c r="B102" s="40"/>
      <c r="C102" s="41"/>
      <c r="D102" s="41" t="s">
        <v>100</v>
      </c>
      <c r="E102" s="26"/>
      <c r="F102" s="10"/>
      <c r="G102" s="14">
        <f>Source!AM75</f>
        <v>39.56</v>
      </c>
      <c r="H102" s="12" t="str">
        <f>Source!DE75</f>
        <v>)*1,25)*1,25</v>
      </c>
      <c r="I102" s="14">
        <f>ROUND(Source!AD75*Source!I75,2)</f>
        <v>12.36</v>
      </c>
      <c r="J102" s="12"/>
      <c r="K102" s="12">
        <f>IF(Source!BB75&lt;&gt;0,Source!BB75,1)</f>
        <v>8.15</v>
      </c>
      <c r="L102" s="14">
        <f>Source!Q75</f>
        <v>100.75</v>
      </c>
      <c r="M102" s="27"/>
    </row>
    <row r="103" spans="1:18" ht="14.25">
      <c r="A103" s="40"/>
      <c r="B103" s="40"/>
      <c r="C103" s="41"/>
      <c r="D103" s="41" t="s">
        <v>744</v>
      </c>
      <c r="E103" s="26"/>
      <c r="F103" s="10"/>
      <c r="G103" s="14">
        <f>Source!AN75</f>
        <v>9.81</v>
      </c>
      <c r="H103" s="12" t="str">
        <f>Source!DF75</f>
        <v>)*1,25)*1,25</v>
      </c>
      <c r="I103" s="35">
        <f>ROUND(Source!AE75*Source!I75,2)</f>
        <v>3.07</v>
      </c>
      <c r="J103" s="12"/>
      <c r="K103" s="12">
        <f>IF(Source!BS75&lt;&gt;0,Source!BS75,1)</f>
        <v>9.82</v>
      </c>
      <c r="L103" s="35">
        <f>Source!R75</f>
        <v>30.11</v>
      </c>
      <c r="M103" s="27"/>
      <c r="R103">
        <f>I103</f>
        <v>3.07</v>
      </c>
    </row>
    <row r="104" spans="1:13" ht="14.25">
      <c r="A104" s="40"/>
      <c r="B104" s="40"/>
      <c r="C104" s="41"/>
      <c r="D104" s="41" t="s">
        <v>749</v>
      </c>
      <c r="E104" s="26"/>
      <c r="F104" s="10"/>
      <c r="G104" s="14">
        <f>Source!AL75</f>
        <v>952.99</v>
      </c>
      <c r="H104" s="12">
        <f>Source!DD75</f>
      </c>
      <c r="I104" s="14">
        <f>ROUND(Source!AC75*Source!I75,2)</f>
        <v>190.6</v>
      </c>
      <c r="J104" s="12"/>
      <c r="K104" s="12">
        <f>IF(Source!BC75&lt;&gt;0,Source!BC75,1)</f>
        <v>4.06</v>
      </c>
      <c r="L104" s="14">
        <f>Source!P75</f>
        <v>773.83</v>
      </c>
      <c r="M104" s="27"/>
    </row>
    <row r="105" spans="1:13" ht="14.25">
      <c r="A105" s="40"/>
      <c r="B105" s="40"/>
      <c r="C105" s="41"/>
      <c r="D105" s="41" t="s">
        <v>738</v>
      </c>
      <c r="E105" s="26" t="s">
        <v>739</v>
      </c>
      <c r="F105" s="10">
        <f>Source!BZ75</f>
        <v>122</v>
      </c>
      <c r="G105" s="75" t="str">
        <f>CONCATENATE(" )",Source!DL75,Source!FT75,"=",Source!FX75)</f>
        <v> )*0,9=109,8</v>
      </c>
      <c r="H105" s="76"/>
      <c r="I105" s="14">
        <f>SUM(S100:S107)</f>
        <v>30.24</v>
      </c>
      <c r="J105" s="28"/>
      <c r="K105" s="24">
        <f>Source!AT75</f>
        <v>110</v>
      </c>
      <c r="L105" s="14">
        <f>SUM(T100:T107)</f>
        <v>297.41</v>
      </c>
      <c r="M105" s="27"/>
    </row>
    <row r="106" spans="1:13" ht="14.25">
      <c r="A106" s="40"/>
      <c r="B106" s="40"/>
      <c r="C106" s="41"/>
      <c r="D106" s="41" t="s">
        <v>740</v>
      </c>
      <c r="E106" s="26" t="s">
        <v>739</v>
      </c>
      <c r="F106" s="10">
        <f>Source!CA75</f>
        <v>80</v>
      </c>
      <c r="G106" s="75" t="str">
        <f>CONCATENATE(" )",Source!DM75,Source!FU75,"=",Source!FY75)</f>
        <v> )*0,85=68</v>
      </c>
      <c r="H106" s="76"/>
      <c r="I106" s="14">
        <f>SUM(U100:U107)</f>
        <v>18.73</v>
      </c>
      <c r="J106" s="28"/>
      <c r="K106" s="24">
        <f>Source!AU75</f>
        <v>68</v>
      </c>
      <c r="L106" s="14">
        <f>SUM(V100:V107)</f>
        <v>183.85</v>
      </c>
      <c r="M106" s="27"/>
    </row>
    <row r="107" spans="1:13" ht="14.25">
      <c r="A107" s="42"/>
      <c r="B107" s="42"/>
      <c r="C107" s="43"/>
      <c r="D107" s="43" t="s">
        <v>741</v>
      </c>
      <c r="E107" s="29" t="s">
        <v>742</v>
      </c>
      <c r="F107" s="30">
        <f>Source!AQ75</f>
        <v>5.4</v>
      </c>
      <c r="G107" s="31"/>
      <c r="H107" s="32" t="str">
        <f>Source!DI75</f>
        <v>)*1,15)*1,25</v>
      </c>
      <c r="I107" s="31"/>
      <c r="J107" s="32"/>
      <c r="K107" s="32"/>
      <c r="L107" s="31"/>
      <c r="M107" s="33">
        <f>Source!U75</f>
        <v>1.5525000000000002</v>
      </c>
    </row>
    <row r="108" spans="8:26" ht="15">
      <c r="H108" s="74">
        <f>I101+I102+I104+I105+I106</f>
        <v>276.40000000000003</v>
      </c>
      <c r="I108" s="74"/>
      <c r="K108" s="74">
        <f>L101+L102+L104+L105+L106</f>
        <v>1596.1000000000001</v>
      </c>
      <c r="L108" s="74"/>
      <c r="M108" s="34">
        <f>Source!U75</f>
        <v>1.5525000000000002</v>
      </c>
      <c r="O108" s="18">
        <f>H108</f>
        <v>276.40000000000003</v>
      </c>
      <c r="P108" s="18">
        <f>K108</f>
        <v>1596.1000000000001</v>
      </c>
      <c r="Q108" s="18">
        <f>M108</f>
        <v>1.5525000000000002</v>
      </c>
      <c r="W108">
        <f>IF(Source!BI75&lt;=1,I101+I102+I104+I105+I106,0)</f>
        <v>276.40000000000003</v>
      </c>
      <c r="X108">
        <f>IF(Source!BI75=2,I101+I102+I104+I105+I106,0)</f>
        <v>0</v>
      </c>
      <c r="Y108">
        <f>IF(Source!BI75=3,I101+I102+I104+I105+I106,0)</f>
        <v>0</v>
      </c>
      <c r="Z108">
        <f>IF(Source!BI75=4,I101+I102+I104+I105+I106,0)</f>
        <v>0</v>
      </c>
    </row>
    <row r="109" spans="1:22" ht="143.25">
      <c r="A109" s="40">
        <v>11</v>
      </c>
      <c r="B109" s="40" t="str">
        <f>Source!E76</f>
        <v>9</v>
      </c>
      <c r="C109" s="41" t="s">
        <v>752</v>
      </c>
      <c r="D109" s="41" t="str">
        <f>Source!G76</f>
        <v>Устройство стропильных ног и подкосов</v>
      </c>
      <c r="E109" s="26" t="str">
        <f>Source!H76</f>
        <v>1 м3 древесины в конструкции</v>
      </c>
      <c r="F109" s="10">
        <f>Source!I76</f>
        <v>19.6</v>
      </c>
      <c r="G109" s="14">
        <f>Source!AL76+Source!AM76+Source!AO76</f>
        <v>377.98</v>
      </c>
      <c r="H109" s="12"/>
      <c r="I109" s="14"/>
      <c r="J109" s="12" t="str">
        <f>Source!BO76</f>
        <v>10-02-036-1</v>
      </c>
      <c r="K109" s="12"/>
      <c r="L109" s="14"/>
      <c r="M109" s="27"/>
      <c r="S109">
        <f>ROUND((Source!FX76/100)*((ROUND(Source!AF76*Source!I76,2)+ROUND(Source!AE76*Source!I76,2))),2)</f>
        <v>6341.98</v>
      </c>
      <c r="T109">
        <f>Source!X76</f>
        <v>62160.9</v>
      </c>
      <c r="U109">
        <f>ROUND((Source!FY76/100)*((ROUND(Source!AF76*Source!I76,2)+ROUND(Source!AE76*Source!I76,2))),2)</f>
        <v>3197.86</v>
      </c>
      <c r="V109">
        <f>Source!Y76</f>
        <v>31666.87</v>
      </c>
    </row>
    <row r="110" spans="1:18" ht="14.25">
      <c r="A110" s="40"/>
      <c r="B110" s="40"/>
      <c r="C110" s="41"/>
      <c r="D110" s="41" t="s">
        <v>737</v>
      </c>
      <c r="E110" s="26"/>
      <c r="F110" s="10"/>
      <c r="G110" s="14">
        <f>Source!AO76</f>
        <v>207.95</v>
      </c>
      <c r="H110" s="12" t="str">
        <f>Source!DG76</f>
        <v>)*1,15)*1,25</v>
      </c>
      <c r="I110" s="14">
        <f>ROUND(Source!AF76*Source!I76,2)</f>
        <v>5859.03</v>
      </c>
      <c r="J110" s="12"/>
      <c r="K110" s="12">
        <f>IF(Source!BA76&lt;&gt;0,Source!BA76,1)</f>
        <v>9.82</v>
      </c>
      <c r="L110" s="14">
        <f>Source!S76</f>
        <v>57535.65</v>
      </c>
      <c r="M110" s="27"/>
      <c r="R110">
        <f>I110</f>
        <v>5859.03</v>
      </c>
    </row>
    <row r="111" spans="1:13" ht="14.25">
      <c r="A111" s="40"/>
      <c r="B111" s="40"/>
      <c r="C111" s="41"/>
      <c r="D111" s="41" t="s">
        <v>100</v>
      </c>
      <c r="E111" s="26"/>
      <c r="F111" s="10"/>
      <c r="G111" s="14">
        <f>Source!AM76</f>
        <v>45.25</v>
      </c>
      <c r="H111" s="12" t="str">
        <f>Source!DE76</f>
        <v>)*1,25)*1,25</v>
      </c>
      <c r="I111" s="14">
        <f>ROUND(Source!AD76*Source!I76,2)</f>
        <v>1385.72</v>
      </c>
      <c r="J111" s="12"/>
      <c r="K111" s="12">
        <f>IF(Source!BB76&lt;&gt;0,Source!BB76,1)</f>
        <v>6.44</v>
      </c>
      <c r="L111" s="14">
        <f>Source!Q76</f>
        <v>8924.04</v>
      </c>
      <c r="M111" s="27"/>
    </row>
    <row r="112" spans="1:18" ht="14.25">
      <c r="A112" s="40"/>
      <c r="B112" s="40"/>
      <c r="C112" s="41"/>
      <c r="D112" s="41" t="s">
        <v>744</v>
      </c>
      <c r="E112" s="26"/>
      <c r="F112" s="10"/>
      <c r="G112" s="14">
        <f>Source!AN76</f>
        <v>3.68</v>
      </c>
      <c r="H112" s="12" t="str">
        <f>Source!DF76</f>
        <v>)*1,25)*1,25</v>
      </c>
      <c r="I112" s="35">
        <f>ROUND(Source!AE76*Source!I76,2)</f>
        <v>112.7</v>
      </c>
      <c r="J112" s="12"/>
      <c r="K112" s="12">
        <f>IF(Source!BS76&lt;&gt;0,Source!BS76,1)</f>
        <v>9.82</v>
      </c>
      <c r="L112" s="35">
        <f>Source!R76</f>
        <v>1106.71</v>
      </c>
      <c r="M112" s="27"/>
      <c r="R112">
        <f>I112</f>
        <v>112.7</v>
      </c>
    </row>
    <row r="113" spans="1:13" ht="14.25">
      <c r="A113" s="40"/>
      <c r="B113" s="40"/>
      <c r="C113" s="41"/>
      <c r="D113" s="41" t="s">
        <v>749</v>
      </c>
      <c r="E113" s="26"/>
      <c r="F113" s="10"/>
      <c r="G113" s="14">
        <f>Source!AL76</f>
        <v>124.78</v>
      </c>
      <c r="H113" s="12">
        <f>Source!DD76</f>
      </c>
      <c r="I113" s="14">
        <f>ROUND(Source!AC76*Source!I76,2)</f>
        <v>2445.69</v>
      </c>
      <c r="J113" s="12"/>
      <c r="K113" s="12">
        <f>IF(Source!BC76&lt;&gt;0,Source!BC76,1)</f>
        <v>6.46</v>
      </c>
      <c r="L113" s="14">
        <f>Source!P76</f>
        <v>15799.14</v>
      </c>
      <c r="M113" s="27"/>
    </row>
    <row r="114" spans="1:13" ht="14.25">
      <c r="A114" s="40"/>
      <c r="B114" s="40"/>
      <c r="C114" s="41"/>
      <c r="D114" s="41" t="s">
        <v>738</v>
      </c>
      <c r="E114" s="26" t="s">
        <v>739</v>
      </c>
      <c r="F114" s="10">
        <f>Source!BZ76</f>
        <v>118</v>
      </c>
      <c r="G114" s="75" t="str">
        <f>CONCATENATE(" )",Source!DL76,Source!FT76,"=",Source!FX76)</f>
        <v> )*0,9=106,2</v>
      </c>
      <c r="H114" s="76"/>
      <c r="I114" s="14">
        <f>SUM(S109:S117)</f>
        <v>6341.98</v>
      </c>
      <c r="J114" s="28"/>
      <c r="K114" s="24">
        <f>Source!AT76</f>
        <v>106</v>
      </c>
      <c r="L114" s="14">
        <f>SUM(T109:T117)</f>
        <v>62160.9</v>
      </c>
      <c r="M114" s="27"/>
    </row>
    <row r="115" spans="1:13" ht="14.25">
      <c r="A115" s="40"/>
      <c r="B115" s="40"/>
      <c r="C115" s="41"/>
      <c r="D115" s="41" t="s">
        <v>740</v>
      </c>
      <c r="E115" s="26" t="s">
        <v>739</v>
      </c>
      <c r="F115" s="10">
        <f>Source!CA76</f>
        <v>63</v>
      </c>
      <c r="G115" s="75" t="str">
        <f>CONCATENATE(" )",Source!DM76,Source!FU76,"=",Source!FY76)</f>
        <v> )*0,85=53,55</v>
      </c>
      <c r="H115" s="76"/>
      <c r="I115" s="14">
        <f>SUM(U109:U117)</f>
        <v>3197.86</v>
      </c>
      <c r="J115" s="28"/>
      <c r="K115" s="24">
        <f>Source!AU76</f>
        <v>54</v>
      </c>
      <c r="L115" s="14">
        <f>SUM(V109:V117)</f>
        <v>31666.87</v>
      </c>
      <c r="M115" s="27"/>
    </row>
    <row r="116" spans="1:13" ht="14.25">
      <c r="A116" s="40"/>
      <c r="B116" s="40"/>
      <c r="C116" s="41"/>
      <c r="D116" s="41" t="s">
        <v>741</v>
      </c>
      <c r="E116" s="26" t="s">
        <v>742</v>
      </c>
      <c r="F116" s="10">
        <f>Source!AQ76</f>
        <v>12.86</v>
      </c>
      <c r="G116" s="14"/>
      <c r="H116" s="12" t="str">
        <f>Source!DI76</f>
        <v>)*1,15)*1,25</v>
      </c>
      <c r="I116" s="14"/>
      <c r="J116" s="12"/>
      <c r="K116" s="12"/>
      <c r="L116" s="14"/>
      <c r="M116" s="36">
        <f>Source!U76</f>
        <v>362.3305</v>
      </c>
    </row>
    <row r="117" spans="1:26" ht="42.75">
      <c r="A117" s="42">
        <v>12</v>
      </c>
      <c r="B117" s="42" t="str">
        <f>Source!E77</f>
        <v>9,1</v>
      </c>
      <c r="C117" s="43" t="str">
        <f>Source!F77</f>
        <v>102-0023</v>
      </c>
      <c r="D117" s="43" t="str">
        <f>Source!G77</f>
        <v>Бруски обрезные хвойных пород длиной 4-6,5 м, шириной 75-150 мм, толщиной 40-75 мм, I сорта</v>
      </c>
      <c r="E117" s="29" t="str">
        <f>Source!H77</f>
        <v>м3</v>
      </c>
      <c r="F117" s="30">
        <f>Source!I77</f>
        <v>19.6</v>
      </c>
      <c r="G117" s="31">
        <f>Source!AL77+Source!AM77+Source!AO77</f>
        <v>2593.2</v>
      </c>
      <c r="H117" s="37" t="s">
        <v>3</v>
      </c>
      <c r="I117" s="31">
        <f>ROUND(Source!AC77*Source!I77,2)+ROUND(Source!AD77*Source!I77,2)+ROUND(Source!AF77*Source!I77,2)</f>
        <v>50826.72</v>
      </c>
      <c r="J117" s="32"/>
      <c r="K117" s="32">
        <f>IF(Source!BC77&lt;&gt;0,Source!BC77,1)</f>
        <v>4.76</v>
      </c>
      <c r="L117" s="31">
        <f>Source!O77</f>
        <v>241935.19</v>
      </c>
      <c r="M117" s="38"/>
      <c r="S117">
        <f>ROUND((Source!FX77/100)*((ROUND(Source!AF77*Source!I77,2)+ROUND(Source!AE77*Source!I77,2))),2)</f>
        <v>0</v>
      </c>
      <c r="T117">
        <f>Source!X77</f>
        <v>0</v>
      </c>
      <c r="U117">
        <f>ROUND((Source!FY77/100)*((ROUND(Source!AF77*Source!I77,2)+ROUND(Source!AE77*Source!I77,2))),2)</f>
        <v>0</v>
      </c>
      <c r="V117">
        <f>Source!Y77</f>
        <v>0</v>
      </c>
      <c r="W117">
        <f>IF(Source!BI77&lt;=1,I117,0)</f>
        <v>50826.72</v>
      </c>
      <c r="X117">
        <f>IF(Source!BI77=2,I117,0)</f>
        <v>0</v>
      </c>
      <c r="Y117">
        <f>IF(Source!BI77=3,I117,0)</f>
        <v>0</v>
      </c>
      <c r="Z117">
        <f>IF(Source!BI77=4,I117,0)</f>
        <v>0</v>
      </c>
    </row>
    <row r="118" spans="8:26" ht="15">
      <c r="H118" s="74">
        <f>I110+I111+I113+I114+I115+SUM(I117:I117)</f>
        <v>70057</v>
      </c>
      <c r="I118" s="74"/>
      <c r="K118" s="74">
        <f>L110+L111+L113+L114+L115+SUM(L117:L117)</f>
        <v>418021.79000000004</v>
      </c>
      <c r="L118" s="74"/>
      <c r="M118" s="34">
        <f>Source!U76</f>
        <v>362.3305</v>
      </c>
      <c r="O118" s="18">
        <f>H118</f>
        <v>70057</v>
      </c>
      <c r="P118" s="18">
        <f>K118</f>
        <v>418021.79000000004</v>
      </c>
      <c r="Q118" s="18">
        <f>M118</f>
        <v>362.3305</v>
      </c>
      <c r="W118">
        <f>IF(Source!BI76&lt;=1,I110+I111+I113+I114+I115,0)</f>
        <v>19230.28</v>
      </c>
      <c r="X118">
        <f>IF(Source!BI76=2,I110+I111+I113+I114+I115,0)</f>
        <v>0</v>
      </c>
      <c r="Y118">
        <f>IF(Source!BI76=3,I110+I111+I113+I114+I115,0)</f>
        <v>0</v>
      </c>
      <c r="Z118">
        <f>IF(Source!BI76=4,I110+I111+I113+I114+I115,0)</f>
        <v>0</v>
      </c>
    </row>
    <row r="119" spans="1:22" ht="78">
      <c r="A119" s="40">
        <v>13</v>
      </c>
      <c r="B119" s="40" t="str">
        <f>Source!E78</f>
        <v>10</v>
      </c>
      <c r="C119" s="41" t="s">
        <v>753</v>
      </c>
      <c r="D119" s="41" t="str">
        <f>Source!G78</f>
        <v>Устройство обрешетки сплошной из досок</v>
      </c>
      <c r="E119" s="26" t="str">
        <f>Source!H78</f>
        <v>100 м2</v>
      </c>
      <c r="F119" s="10">
        <f>Source!I78</f>
        <v>7</v>
      </c>
      <c r="G119" s="14">
        <f>Source!AL78+Source!AM78+Source!AO78</f>
        <v>2304.65</v>
      </c>
      <c r="H119" s="12"/>
      <c r="I119" s="14"/>
      <c r="J119" s="12" t="str">
        <f>Source!BO78</f>
        <v>58-12-1</v>
      </c>
      <c r="K119" s="12"/>
      <c r="L119" s="14"/>
      <c r="M119" s="27"/>
      <c r="S119">
        <f>ROUND((Source!FX78/100)*((ROUND(Source!AF78*Source!I78,2)+ROUND(Source!AE78*Source!I78,2))),2)</f>
        <v>3559.73</v>
      </c>
      <c r="T119">
        <f>Source!X78</f>
        <v>34956.54</v>
      </c>
      <c r="U119">
        <f>ROUND((Source!FY78/100)*((ROUND(Source!AF78*Source!I78,2)+ROUND(Source!AE78*Source!I78,2))),2)</f>
        <v>2787.74</v>
      </c>
      <c r="V119">
        <f>Source!Y78</f>
        <v>27375.6</v>
      </c>
    </row>
    <row r="120" spans="1:18" ht="14.25">
      <c r="A120" s="40"/>
      <c r="B120" s="40"/>
      <c r="C120" s="41"/>
      <c r="D120" s="41" t="s">
        <v>737</v>
      </c>
      <c r="E120" s="26"/>
      <c r="F120" s="10"/>
      <c r="G120" s="14">
        <f>Source!AO78</f>
        <v>479.36</v>
      </c>
      <c r="H120" s="12" t="str">
        <f>Source!DG78</f>
        <v>)*1,25</v>
      </c>
      <c r="I120" s="14">
        <f>ROUND(Source!AF78*Source!I78,2)</f>
        <v>4194.4</v>
      </c>
      <c r="J120" s="12"/>
      <c r="K120" s="12">
        <f>IF(Source!BA78&lt;&gt;0,Source!BA78,1)</f>
        <v>9.82</v>
      </c>
      <c r="L120" s="14">
        <f>Source!S78</f>
        <v>41189.01</v>
      </c>
      <c r="M120" s="27"/>
      <c r="R120">
        <f>I120</f>
        <v>4194.4</v>
      </c>
    </row>
    <row r="121" spans="1:13" ht="14.25">
      <c r="A121" s="40"/>
      <c r="B121" s="40"/>
      <c r="C121" s="41"/>
      <c r="D121" s="41" t="s">
        <v>100</v>
      </c>
      <c r="E121" s="26"/>
      <c r="F121" s="10"/>
      <c r="G121" s="14">
        <f>Source!AM78</f>
        <v>55.53</v>
      </c>
      <c r="H121" s="12" t="str">
        <f>Source!DE78</f>
        <v>)*1,25</v>
      </c>
      <c r="I121" s="14">
        <f>ROUND(Source!AD78*Source!I78,2)</f>
        <v>485.94</v>
      </c>
      <c r="J121" s="12"/>
      <c r="K121" s="12">
        <f>IF(Source!BB78&lt;&gt;0,Source!BB78,1)</f>
        <v>6.19</v>
      </c>
      <c r="L121" s="14">
        <f>Source!Q78</f>
        <v>3007.97</v>
      </c>
      <c r="M121" s="27"/>
    </row>
    <row r="122" spans="1:18" ht="14.25">
      <c r="A122" s="40"/>
      <c r="B122" s="40"/>
      <c r="C122" s="41"/>
      <c r="D122" s="41" t="s">
        <v>744</v>
      </c>
      <c r="E122" s="26"/>
      <c r="F122" s="10"/>
      <c r="G122" s="14">
        <f>Source!AN78</f>
        <v>10.79</v>
      </c>
      <c r="H122" s="12" t="str">
        <f>Source!DF78</f>
        <v>)*1,25</v>
      </c>
      <c r="I122" s="35">
        <f>ROUND(Source!AE78*Source!I78,2)</f>
        <v>94.43</v>
      </c>
      <c r="J122" s="12"/>
      <c r="K122" s="12">
        <f>IF(Source!BS78&lt;&gt;0,Source!BS78,1)</f>
        <v>9.82</v>
      </c>
      <c r="L122" s="35">
        <f>Source!R78</f>
        <v>927.3</v>
      </c>
      <c r="M122" s="27"/>
      <c r="R122">
        <f>I122</f>
        <v>94.43</v>
      </c>
    </row>
    <row r="123" spans="1:13" ht="14.25">
      <c r="A123" s="40"/>
      <c r="B123" s="40"/>
      <c r="C123" s="41"/>
      <c r="D123" s="41" t="s">
        <v>749</v>
      </c>
      <c r="E123" s="26"/>
      <c r="F123" s="10"/>
      <c r="G123" s="14">
        <f>Source!AL78</f>
        <v>1769.76</v>
      </c>
      <c r="H123" s="12">
        <f>Source!DD78</f>
      </c>
      <c r="I123" s="14">
        <f>ROUND(Source!AC78*Source!I78,2)</f>
        <v>12388.32</v>
      </c>
      <c r="J123" s="12"/>
      <c r="K123" s="12">
        <f>IF(Source!BC78&lt;&gt;0,Source!BC78,1)</f>
        <v>10.95</v>
      </c>
      <c r="L123" s="14">
        <f>Source!P78</f>
        <v>135652.1</v>
      </c>
      <c r="M123" s="27"/>
    </row>
    <row r="124" spans="1:13" ht="14.25">
      <c r="A124" s="40"/>
      <c r="B124" s="40"/>
      <c r="C124" s="41"/>
      <c r="D124" s="41" t="s">
        <v>738</v>
      </c>
      <c r="E124" s="26" t="s">
        <v>739</v>
      </c>
      <c r="F124" s="10">
        <f>Source!BZ78</f>
        <v>83</v>
      </c>
      <c r="G124" s="44"/>
      <c r="H124" s="12"/>
      <c r="I124" s="14">
        <f>SUM(S119:S128)</f>
        <v>3559.73</v>
      </c>
      <c r="J124" s="28"/>
      <c r="K124" s="24">
        <f>Source!AT78</f>
        <v>83</v>
      </c>
      <c r="L124" s="14">
        <f>SUM(T119:T128)</f>
        <v>34956.54</v>
      </c>
      <c r="M124" s="27"/>
    </row>
    <row r="125" spans="1:13" ht="14.25">
      <c r="A125" s="40"/>
      <c r="B125" s="40"/>
      <c r="C125" s="41"/>
      <c r="D125" s="41" t="s">
        <v>740</v>
      </c>
      <c r="E125" s="26" t="s">
        <v>739</v>
      </c>
      <c r="F125" s="10">
        <f>Source!CA78</f>
        <v>65</v>
      </c>
      <c r="G125" s="44"/>
      <c r="H125" s="12"/>
      <c r="I125" s="14">
        <f>SUM(U119:U128)</f>
        <v>2787.74</v>
      </c>
      <c r="J125" s="28"/>
      <c r="K125" s="24">
        <f>Source!AU78</f>
        <v>65</v>
      </c>
      <c r="L125" s="14">
        <f>SUM(V119:V128)</f>
        <v>27375.6</v>
      </c>
      <c r="M125" s="27"/>
    </row>
    <row r="126" spans="1:13" ht="14.25">
      <c r="A126" s="40"/>
      <c r="B126" s="40"/>
      <c r="C126" s="41"/>
      <c r="D126" s="41" t="s">
        <v>741</v>
      </c>
      <c r="E126" s="26" t="s">
        <v>742</v>
      </c>
      <c r="F126" s="10">
        <f>Source!AQ78</f>
        <v>31.83</v>
      </c>
      <c r="G126" s="14"/>
      <c r="H126" s="12" t="str">
        <f>Source!DI78</f>
        <v>)*1,25</v>
      </c>
      <c r="I126" s="14"/>
      <c r="J126" s="12"/>
      <c r="K126" s="12"/>
      <c r="L126" s="14"/>
      <c r="M126" s="36">
        <f>Source!U78</f>
        <v>278.51249999999993</v>
      </c>
    </row>
    <row r="127" spans="1:26" ht="42.75">
      <c r="A127" s="40">
        <v>14</v>
      </c>
      <c r="B127" s="40" t="str">
        <f>Source!E79</f>
        <v>10,1</v>
      </c>
      <c r="C127" s="41" t="str">
        <f>Source!F79</f>
        <v>102-0190</v>
      </c>
      <c r="D127" s="41" t="str">
        <f>Source!G79</f>
        <v>Доски необрезные (береза, липа) длиной 2-3,75 м, все ширины, толщиной 25, 32, 40 мм, II сорта</v>
      </c>
      <c r="E127" s="26" t="str">
        <f>Source!H79</f>
        <v>м3</v>
      </c>
      <c r="F127" s="10">
        <f>Source!I79</f>
        <v>51.577274</v>
      </c>
      <c r="G127" s="14">
        <f>Source!AL79+Source!AM79+Source!AO79</f>
        <v>1431.74</v>
      </c>
      <c r="H127" s="39" t="s">
        <v>3</v>
      </c>
      <c r="I127" s="14">
        <f>ROUND(Source!AC79*Source!I79,2)+ROUND(Source!AD79*Source!I79,2)+ROUND(Source!AF79*Source!I79,2)</f>
        <v>73845.25</v>
      </c>
      <c r="J127" s="12"/>
      <c r="K127" s="12">
        <f>IF(Source!BC79&lt;&gt;0,Source!BC79,1)</f>
        <v>4.18</v>
      </c>
      <c r="L127" s="14">
        <f>Source!O79</f>
        <v>308673.13</v>
      </c>
      <c r="M127" s="27"/>
      <c r="S127">
        <f>ROUND((Source!FX79/100)*((ROUND(Source!AF79*Source!I79,2)+ROUND(Source!AE79*Source!I79,2))),2)</f>
        <v>0</v>
      </c>
      <c r="T127">
        <f>Source!X79</f>
        <v>0</v>
      </c>
      <c r="U127">
        <f>ROUND((Source!FY79/100)*((ROUND(Source!AF79*Source!I79,2)+ROUND(Source!AE79*Source!I79,2))),2)</f>
        <v>0</v>
      </c>
      <c r="V127">
        <f>Source!Y79</f>
        <v>0</v>
      </c>
      <c r="W127">
        <f>IF(Source!BI79&lt;=1,I127,0)</f>
        <v>73845.25</v>
      </c>
      <c r="X127">
        <f>IF(Source!BI79=2,I127,0)</f>
        <v>0</v>
      </c>
      <c r="Y127">
        <f>IF(Source!BI79=3,I127,0)</f>
        <v>0</v>
      </c>
      <c r="Z127">
        <f>IF(Source!BI79=4,I127,0)</f>
        <v>0</v>
      </c>
    </row>
    <row r="128" spans="1:26" ht="42.75">
      <c r="A128" s="42">
        <v>15</v>
      </c>
      <c r="B128" s="42" t="str">
        <f>Source!E80</f>
        <v>10,2</v>
      </c>
      <c r="C128" s="43" t="str">
        <f>Source!F80</f>
        <v>102-0073</v>
      </c>
      <c r="D128" s="43" t="str">
        <f>Source!G80</f>
        <v>Доски необрезные хвойных пород длиной 4-6,5 м, все ширины, толщиной 25 мм, III сорта</v>
      </c>
      <c r="E128" s="29" t="str">
        <f>Source!H80</f>
        <v>м3</v>
      </c>
      <c r="F128" s="30">
        <f>Source!I80</f>
        <v>-18.48</v>
      </c>
      <c r="G128" s="31">
        <f>Source!AL80+Source!AM80+Source!AO80</f>
        <v>633.98</v>
      </c>
      <c r="H128" s="37" t="s">
        <v>3</v>
      </c>
      <c r="I128" s="31">
        <f>ROUND(Source!AC80*Source!I80,2)+ROUND(Source!AD80*Source!I80,2)+ROUND(Source!AF80*Source!I80,2)</f>
        <v>-11715.95</v>
      </c>
      <c r="J128" s="32"/>
      <c r="K128" s="32">
        <f>IF(Source!BC80&lt;&gt;0,Source!BC80,1)</f>
        <v>11.21</v>
      </c>
      <c r="L128" s="31">
        <f>Source!O80</f>
        <v>-131335.8</v>
      </c>
      <c r="M128" s="38"/>
      <c r="S128">
        <f>ROUND((Source!FX80/100)*((ROUND(Source!AF80*Source!I80,2)+ROUND(Source!AE80*Source!I80,2))),2)</f>
        <v>0</v>
      </c>
      <c r="T128">
        <f>Source!X80</f>
        <v>0</v>
      </c>
      <c r="U128">
        <f>ROUND((Source!FY80/100)*((ROUND(Source!AF80*Source!I80,2)+ROUND(Source!AE80*Source!I80,2))),2)</f>
        <v>0</v>
      </c>
      <c r="V128">
        <f>Source!Y80</f>
        <v>0</v>
      </c>
      <c r="W128">
        <f>IF(Source!BI80&lt;=1,I128,0)</f>
        <v>-11715.95</v>
      </c>
      <c r="X128">
        <f>IF(Source!BI80=2,I128,0)</f>
        <v>0</v>
      </c>
      <c r="Y128">
        <f>IF(Source!BI80=3,I128,0)</f>
        <v>0</v>
      </c>
      <c r="Z128">
        <f>IF(Source!BI80=4,I128,0)</f>
        <v>0</v>
      </c>
    </row>
    <row r="129" spans="8:26" ht="15">
      <c r="H129" s="74">
        <f>I120+I121+I123+I124+I125+SUM(I127:I128)</f>
        <v>85545.43</v>
      </c>
      <c r="I129" s="74"/>
      <c r="K129" s="74">
        <f>L120+L121+L123+L124+L125+SUM(L127:L128)</f>
        <v>419518.55000000005</v>
      </c>
      <c r="L129" s="74"/>
      <c r="M129" s="34">
        <f>Source!U78</f>
        <v>278.51249999999993</v>
      </c>
      <c r="O129" s="18">
        <f>H129</f>
        <v>85545.43</v>
      </c>
      <c r="P129" s="18">
        <f>K129</f>
        <v>419518.55000000005</v>
      </c>
      <c r="Q129" s="18">
        <f>M129</f>
        <v>278.51249999999993</v>
      </c>
      <c r="W129">
        <f>IF(Source!BI78&lt;=1,I120+I121+I123+I124+I125,0)</f>
        <v>23416.129999999997</v>
      </c>
      <c r="X129">
        <f>IF(Source!BI78=2,I120+I121+I123+I124+I125,0)</f>
        <v>0</v>
      </c>
      <c r="Y129">
        <f>IF(Source!BI78=3,I120+I121+I123+I124+I125,0)</f>
        <v>0</v>
      </c>
      <c r="Z129">
        <f>IF(Source!BI78=4,I120+I121+I123+I124+I125,0)</f>
        <v>0</v>
      </c>
    </row>
    <row r="130" spans="1:22" ht="143.25">
      <c r="A130" s="40">
        <v>16</v>
      </c>
      <c r="B130" s="40" t="str">
        <f>Source!E81</f>
        <v>11</v>
      </c>
      <c r="C130" s="41" t="s">
        <v>754</v>
      </c>
      <c r="D130" s="41" t="str">
        <f>Source!G81</f>
        <v>Устройство пароизоляции прокладочной в один слой</v>
      </c>
      <c r="E130" s="26" t="str">
        <f>Source!H81</f>
        <v>100 м2 изолируемой поверхности</v>
      </c>
      <c r="F130" s="10">
        <f>Source!I81</f>
        <v>7.6</v>
      </c>
      <c r="G130" s="14">
        <f>Source!AL81+Source!AM81+Source!AO81</f>
        <v>986.16</v>
      </c>
      <c r="H130" s="12"/>
      <c r="I130" s="14"/>
      <c r="J130" s="12" t="str">
        <f>Source!BO81</f>
        <v>12-01-015-3</v>
      </c>
      <c r="K130" s="12"/>
      <c r="L130" s="14"/>
      <c r="M130" s="27"/>
      <c r="S130">
        <f>ROUND((Source!FX81/100)*((ROUND(Source!AF81*Source!I81,2)+ROUND(Source!AE81*Source!I81,2))),2)</f>
        <v>1573.72</v>
      </c>
      <c r="T130">
        <f>Source!X81</f>
        <v>15453.94</v>
      </c>
      <c r="U130">
        <f>ROUND((Source!FY81/100)*((ROUND(Source!AF81*Source!I81,2)+ROUND(Source!AE81*Source!I81,2))),2)</f>
        <v>805.08</v>
      </c>
      <c r="V130">
        <f>Source!Y81</f>
        <v>7870.06</v>
      </c>
    </row>
    <row r="131" spans="1:18" ht="14.25">
      <c r="A131" s="40"/>
      <c r="B131" s="40"/>
      <c r="C131" s="41"/>
      <c r="D131" s="41" t="s">
        <v>737</v>
      </c>
      <c r="E131" s="26"/>
      <c r="F131" s="10"/>
      <c r="G131" s="14">
        <f>Source!AO81</f>
        <v>129.91</v>
      </c>
      <c r="H131" s="12" t="str">
        <f>Source!DG81</f>
        <v>)*1,15)*1,25</v>
      </c>
      <c r="I131" s="14">
        <f>ROUND(Source!AF81*Source!I81,2)</f>
        <v>1419.3</v>
      </c>
      <c r="J131" s="12"/>
      <c r="K131" s="12">
        <f>IF(Source!BA81&lt;&gt;0,Source!BA81,1)</f>
        <v>9.82</v>
      </c>
      <c r="L131" s="14">
        <f>Source!S81</f>
        <v>13937.53</v>
      </c>
      <c r="M131" s="27"/>
      <c r="R131">
        <f>I131</f>
        <v>1419.3</v>
      </c>
    </row>
    <row r="132" spans="1:13" ht="14.25">
      <c r="A132" s="40"/>
      <c r="B132" s="40"/>
      <c r="C132" s="41"/>
      <c r="D132" s="41" t="s">
        <v>100</v>
      </c>
      <c r="E132" s="26"/>
      <c r="F132" s="10"/>
      <c r="G132" s="14">
        <f>Source!AM81</f>
        <v>36.34</v>
      </c>
      <c r="H132" s="12" t="str">
        <f>Source!DE81</f>
        <v>)*1,25)*1,25</v>
      </c>
      <c r="I132" s="14">
        <f>ROUND(Source!AD81*Source!I81,2)</f>
        <v>431.53</v>
      </c>
      <c r="J132" s="12"/>
      <c r="K132" s="12">
        <f>IF(Source!BB81&lt;&gt;0,Source!BB81,1)</f>
        <v>6.5</v>
      </c>
      <c r="L132" s="14">
        <f>Source!Q81</f>
        <v>2804.93</v>
      </c>
      <c r="M132" s="27"/>
    </row>
    <row r="133" spans="1:18" ht="14.25">
      <c r="A133" s="40"/>
      <c r="B133" s="40"/>
      <c r="C133" s="41"/>
      <c r="D133" s="41" t="s">
        <v>744</v>
      </c>
      <c r="E133" s="26"/>
      <c r="F133" s="10"/>
      <c r="G133" s="14">
        <f>Source!AN81</f>
        <v>3.19</v>
      </c>
      <c r="H133" s="12" t="str">
        <f>Source!DF81</f>
        <v>)*1,25)*1,25</v>
      </c>
      <c r="I133" s="35">
        <f>ROUND(Source!AE81*Source!I81,2)</f>
        <v>37.85</v>
      </c>
      <c r="J133" s="12"/>
      <c r="K133" s="12">
        <f>IF(Source!BS81&lt;&gt;0,Source!BS81,1)</f>
        <v>9.82</v>
      </c>
      <c r="L133" s="35">
        <f>Source!R81</f>
        <v>371.67</v>
      </c>
      <c r="M133" s="27"/>
      <c r="R133">
        <f>I133</f>
        <v>37.85</v>
      </c>
    </row>
    <row r="134" spans="1:13" ht="14.25">
      <c r="A134" s="40"/>
      <c r="B134" s="40"/>
      <c r="C134" s="41"/>
      <c r="D134" s="41" t="s">
        <v>749</v>
      </c>
      <c r="E134" s="26"/>
      <c r="F134" s="10"/>
      <c r="G134" s="14">
        <f>Source!AL81</f>
        <v>819.91</v>
      </c>
      <c r="H134" s="12">
        <f>Source!DD81</f>
      </c>
      <c r="I134" s="14">
        <f>ROUND(Source!AC81*Source!I81,2)</f>
        <v>6231.32</v>
      </c>
      <c r="J134" s="12"/>
      <c r="K134" s="12">
        <f>IF(Source!BC81&lt;&gt;0,Source!BC81,1)</f>
        <v>4.62</v>
      </c>
      <c r="L134" s="14">
        <f>Source!P81</f>
        <v>28788.68</v>
      </c>
      <c r="M134" s="27"/>
    </row>
    <row r="135" spans="1:13" ht="14.25">
      <c r="A135" s="40"/>
      <c r="B135" s="40"/>
      <c r="C135" s="41"/>
      <c r="D135" s="41" t="s">
        <v>738</v>
      </c>
      <c r="E135" s="26" t="s">
        <v>739</v>
      </c>
      <c r="F135" s="10">
        <f>Source!BZ81</f>
        <v>120</v>
      </c>
      <c r="G135" s="75" t="str">
        <f>CONCATENATE(" )",Source!DL81,Source!FT81,"=",Source!FX81)</f>
        <v> )*0,9=108</v>
      </c>
      <c r="H135" s="76"/>
      <c r="I135" s="14">
        <f>SUM(S130:S139)</f>
        <v>1573.72</v>
      </c>
      <c r="J135" s="28"/>
      <c r="K135" s="24">
        <f>Source!AT81</f>
        <v>108</v>
      </c>
      <c r="L135" s="14">
        <f>SUM(T130:T139)</f>
        <v>15453.94</v>
      </c>
      <c r="M135" s="27"/>
    </row>
    <row r="136" spans="1:13" ht="14.25">
      <c r="A136" s="40"/>
      <c r="B136" s="40"/>
      <c r="C136" s="41"/>
      <c r="D136" s="41" t="s">
        <v>740</v>
      </c>
      <c r="E136" s="26" t="s">
        <v>739</v>
      </c>
      <c r="F136" s="10">
        <f>Source!CA81</f>
        <v>65</v>
      </c>
      <c r="G136" s="75" t="str">
        <f>CONCATENATE(" )",Source!DM81,Source!FU81,"=",Source!FY81)</f>
        <v> )*0,85=55,25</v>
      </c>
      <c r="H136" s="76"/>
      <c r="I136" s="14">
        <f>SUM(U130:U139)</f>
        <v>805.08</v>
      </c>
      <c r="J136" s="28"/>
      <c r="K136" s="24">
        <f>Source!AU81</f>
        <v>55</v>
      </c>
      <c r="L136" s="14">
        <f>SUM(V130:V139)</f>
        <v>7870.06</v>
      </c>
      <c r="M136" s="27"/>
    </row>
    <row r="137" spans="1:13" ht="14.25">
      <c r="A137" s="40"/>
      <c r="B137" s="40"/>
      <c r="C137" s="41"/>
      <c r="D137" s="41" t="s">
        <v>741</v>
      </c>
      <c r="E137" s="26" t="s">
        <v>742</v>
      </c>
      <c r="F137" s="10">
        <f>Source!AQ81</f>
        <v>7.84</v>
      </c>
      <c r="G137" s="14"/>
      <c r="H137" s="12" t="str">
        <f>Source!DI81</f>
        <v>)*1,15)*1,25</v>
      </c>
      <c r="I137" s="14"/>
      <c r="J137" s="12"/>
      <c r="K137" s="12"/>
      <c r="L137" s="14"/>
      <c r="M137" s="36">
        <f>Source!U81</f>
        <v>85.65199999999999</v>
      </c>
    </row>
    <row r="138" spans="1:26" ht="14.25">
      <c r="A138" s="40">
        <v>17</v>
      </c>
      <c r="B138" s="40" t="str">
        <f>Source!E82</f>
        <v>11,1</v>
      </c>
      <c r="C138" s="41" t="str">
        <f>Source!F82</f>
        <v>101-7197</v>
      </c>
      <c r="D138" s="41" t="str">
        <f>Source!G82</f>
        <v>Паро-гидроизоляция Изостронг D</v>
      </c>
      <c r="E138" s="26" t="str">
        <f>Source!H82</f>
        <v>10 м2</v>
      </c>
      <c r="F138" s="10">
        <f>Source!I82</f>
        <v>83.6</v>
      </c>
      <c r="G138" s="14">
        <f>Source!AL82+Source!AM82+Source!AO82</f>
        <v>58.8</v>
      </c>
      <c r="H138" s="39" t="s">
        <v>3</v>
      </c>
      <c r="I138" s="14">
        <f>ROUND(Source!AC82*Source!I82,2)+ROUND(Source!AD82*Source!I82,2)+ROUND(Source!AF82*Source!I82,2)</f>
        <v>4915.68</v>
      </c>
      <c r="J138" s="12"/>
      <c r="K138" s="12">
        <f>IF(Source!BC82&lt;&gt;0,Source!BC82,1)</f>
        <v>5.79</v>
      </c>
      <c r="L138" s="14">
        <f>Source!O82</f>
        <v>28461.79</v>
      </c>
      <c r="M138" s="27"/>
      <c r="S138">
        <f>ROUND((Source!FX82/100)*((ROUND(Source!AF82*Source!I82,2)+ROUND(Source!AE82*Source!I82,2))),2)</f>
        <v>0</v>
      </c>
      <c r="T138">
        <f>Source!X82</f>
        <v>0</v>
      </c>
      <c r="U138">
        <f>ROUND((Source!FY82/100)*((ROUND(Source!AF82*Source!I82,2)+ROUND(Source!AE82*Source!I82,2))),2)</f>
        <v>0</v>
      </c>
      <c r="V138">
        <f>Source!Y82</f>
        <v>0</v>
      </c>
      <c r="W138">
        <f>IF(Source!BI82&lt;=1,I138,0)</f>
        <v>4915.68</v>
      </c>
      <c r="X138">
        <f>IF(Source!BI82=2,I138,0)</f>
        <v>0</v>
      </c>
      <c r="Y138">
        <f>IF(Source!BI82=3,I138,0)</f>
        <v>0</v>
      </c>
      <c r="Z138">
        <f>IF(Source!BI82=4,I138,0)</f>
        <v>0</v>
      </c>
    </row>
    <row r="139" spans="1:26" ht="28.5">
      <c r="A139" s="42">
        <v>18</v>
      </c>
      <c r="B139" s="42" t="str">
        <f>Source!E83</f>
        <v>11,2</v>
      </c>
      <c r="C139" s="43" t="str">
        <f>Source!F83</f>
        <v>101-0856</v>
      </c>
      <c r="D139" s="43" t="str">
        <f>Source!G83</f>
        <v>Рубероид кровельный с пылевидной посыпкой марки РКП-350б</v>
      </c>
      <c r="E139" s="29" t="str">
        <f>Source!H83</f>
        <v>м2</v>
      </c>
      <c r="F139" s="30">
        <f>Source!I83</f>
        <v>-836</v>
      </c>
      <c r="G139" s="31">
        <f>Source!AL83+Source!AM83+Source!AO83</f>
        <v>5.68</v>
      </c>
      <c r="H139" s="37" t="s">
        <v>3</v>
      </c>
      <c r="I139" s="31">
        <f>ROUND(Source!AC83*Source!I83,2)+ROUND(Source!AD83*Source!I83,2)+ROUND(Source!AF83*Source!I83,2)</f>
        <v>-4748.48</v>
      </c>
      <c r="J139" s="32"/>
      <c r="K139" s="32">
        <f>IF(Source!BC83&lt;&gt;0,Source!BC83,1)</f>
        <v>3.86</v>
      </c>
      <c r="L139" s="31">
        <f>Source!O83</f>
        <v>-18329.13</v>
      </c>
      <c r="M139" s="38"/>
      <c r="S139">
        <f>ROUND((Source!FX83/100)*((ROUND(Source!AF83*Source!I83,2)+ROUND(Source!AE83*Source!I83,2))),2)</f>
        <v>0</v>
      </c>
      <c r="T139">
        <f>Source!X83</f>
        <v>0</v>
      </c>
      <c r="U139">
        <f>ROUND((Source!FY83/100)*((ROUND(Source!AF83*Source!I83,2)+ROUND(Source!AE83*Source!I83,2))),2)</f>
        <v>0</v>
      </c>
      <c r="V139">
        <f>Source!Y83</f>
        <v>0</v>
      </c>
      <c r="W139">
        <f>IF(Source!BI83&lt;=1,I139,0)</f>
        <v>-4748.48</v>
      </c>
      <c r="X139">
        <f>IF(Source!BI83=2,I139,0)</f>
        <v>0</v>
      </c>
      <c r="Y139">
        <f>IF(Source!BI83=3,I139,0)</f>
        <v>0</v>
      </c>
      <c r="Z139">
        <f>IF(Source!BI83=4,I139,0)</f>
        <v>0</v>
      </c>
    </row>
    <row r="140" spans="8:26" ht="15">
      <c r="H140" s="74">
        <f>I131+I132+I134+I135+I136+SUM(I138:I139)</f>
        <v>10628.15</v>
      </c>
      <c r="I140" s="74"/>
      <c r="K140" s="74">
        <f>L131+L132+L134+L135+L136+SUM(L138:L139)</f>
        <v>78987.8</v>
      </c>
      <c r="L140" s="74"/>
      <c r="M140" s="34">
        <f>Source!U81</f>
        <v>85.65199999999999</v>
      </c>
      <c r="O140" s="18">
        <f>H140</f>
        <v>10628.15</v>
      </c>
      <c r="P140" s="18">
        <f>K140</f>
        <v>78987.8</v>
      </c>
      <c r="Q140" s="18">
        <f>M140</f>
        <v>85.65199999999999</v>
      </c>
      <c r="W140">
        <f>IF(Source!BI81&lt;=1,I131+I132+I134+I135+I136,0)</f>
        <v>10460.949999999999</v>
      </c>
      <c r="X140">
        <f>IF(Source!BI81=2,I131+I132+I134+I135+I136,0)</f>
        <v>0</v>
      </c>
      <c r="Y140">
        <f>IF(Source!BI81=3,I131+I132+I134+I135+I136,0)</f>
        <v>0</v>
      </c>
      <c r="Z140">
        <f>IF(Source!BI81=4,I131+I132+I134+I135+I136,0)</f>
        <v>0</v>
      </c>
    </row>
    <row r="141" spans="1:22" ht="143.25">
      <c r="A141" s="40">
        <v>19</v>
      </c>
      <c r="B141" s="40" t="str">
        <f>Source!E84</f>
        <v>12</v>
      </c>
      <c r="C141" s="41" t="s">
        <v>755</v>
      </c>
      <c r="D141" s="41" t="str">
        <f>Source!G84</f>
        <v>Устройство мелких покрытий (брандмауэры, парапеты, свесы и т.п.) из листовой оцинкованной стали (воротник дымовой трубы)</v>
      </c>
      <c r="E141" s="26" t="str">
        <f>Source!H84</f>
        <v>100 м2 покрытия</v>
      </c>
      <c r="F141" s="10">
        <f>Source!I84</f>
        <v>0.52</v>
      </c>
      <c r="G141" s="14">
        <f>Source!AL84+Source!AM84+Source!AO84</f>
        <v>9626.82</v>
      </c>
      <c r="H141" s="12"/>
      <c r="I141" s="14"/>
      <c r="J141" s="12" t="str">
        <f>Source!BO84</f>
        <v>12-01-010-1</v>
      </c>
      <c r="K141" s="12"/>
      <c r="L141" s="14"/>
      <c r="M141" s="27"/>
      <c r="S141">
        <f>ROUND((Source!FX84/100)*((ROUND(Source!AF84*Source!I84,2)+ROUND(Source!AE84*Source!I84,2))),2)</f>
        <v>1476.15</v>
      </c>
      <c r="T141">
        <f>Source!X84</f>
        <v>14495.84</v>
      </c>
      <c r="U141">
        <f>ROUND((Source!FY84/100)*((ROUND(Source!AF84*Source!I84,2)+ROUND(Source!AE84*Source!I84,2))),2)</f>
        <v>755.16</v>
      </c>
      <c r="V141">
        <f>Source!Y84</f>
        <v>7382.14</v>
      </c>
    </row>
    <row r="142" spans="1:18" ht="14.25">
      <c r="A142" s="40"/>
      <c r="B142" s="40"/>
      <c r="C142" s="41"/>
      <c r="D142" s="41" t="s">
        <v>737</v>
      </c>
      <c r="E142" s="26"/>
      <c r="F142" s="10"/>
      <c r="G142" s="14">
        <f>Source!AO84</f>
        <v>1823.17</v>
      </c>
      <c r="H142" s="12" t="str">
        <f>Source!DG84</f>
        <v>)*1,15)*1,25</v>
      </c>
      <c r="I142" s="14">
        <f>ROUND(Source!AF84*Source!I84,2)</f>
        <v>1362.82</v>
      </c>
      <c r="J142" s="12"/>
      <c r="K142" s="12">
        <f>IF(Source!BA84&lt;&gt;0,Source!BA84,1)</f>
        <v>9.82</v>
      </c>
      <c r="L142" s="14">
        <f>Source!S84</f>
        <v>13382.9</v>
      </c>
      <c r="M142" s="27"/>
      <c r="R142">
        <f>I142</f>
        <v>1362.82</v>
      </c>
    </row>
    <row r="143" spans="1:13" ht="14.25">
      <c r="A143" s="40"/>
      <c r="B143" s="40"/>
      <c r="C143" s="41"/>
      <c r="D143" s="41" t="s">
        <v>100</v>
      </c>
      <c r="E143" s="26"/>
      <c r="F143" s="10"/>
      <c r="G143" s="14">
        <f>Source!AM84</f>
        <v>28.18</v>
      </c>
      <c r="H143" s="12" t="str">
        <f>Source!DE84</f>
        <v>)*1,25)*1,25</v>
      </c>
      <c r="I143" s="14">
        <f>ROUND(Source!AD84*Source!I84,2)</f>
        <v>22.9</v>
      </c>
      <c r="J143" s="12"/>
      <c r="K143" s="12">
        <f>IF(Source!BB84&lt;&gt;0,Source!BB84,1)</f>
        <v>7.45</v>
      </c>
      <c r="L143" s="14">
        <f>Source!Q84</f>
        <v>170.57</v>
      </c>
      <c r="M143" s="27"/>
    </row>
    <row r="144" spans="1:18" ht="14.25">
      <c r="A144" s="40"/>
      <c r="B144" s="40"/>
      <c r="C144" s="41"/>
      <c r="D144" s="41" t="s">
        <v>744</v>
      </c>
      <c r="E144" s="26"/>
      <c r="F144" s="10"/>
      <c r="G144" s="14">
        <f>Source!AN84</f>
        <v>4.91</v>
      </c>
      <c r="H144" s="12" t="str">
        <f>Source!DF84</f>
        <v>)*1,25)*1,25</v>
      </c>
      <c r="I144" s="35">
        <f>ROUND(Source!AE84*Source!I84,2)</f>
        <v>3.99</v>
      </c>
      <c r="J144" s="12"/>
      <c r="K144" s="12">
        <f>IF(Source!BS84&lt;&gt;0,Source!BS84,1)</f>
        <v>9.82</v>
      </c>
      <c r="L144" s="35">
        <f>Source!R84</f>
        <v>39.17</v>
      </c>
      <c r="M144" s="27"/>
      <c r="R144">
        <f>I144</f>
        <v>3.99</v>
      </c>
    </row>
    <row r="145" spans="1:13" ht="14.25">
      <c r="A145" s="40"/>
      <c r="B145" s="40"/>
      <c r="C145" s="41"/>
      <c r="D145" s="41" t="s">
        <v>749</v>
      </c>
      <c r="E145" s="26"/>
      <c r="F145" s="10"/>
      <c r="G145" s="14">
        <f>Source!AL84</f>
        <v>7775.47</v>
      </c>
      <c r="H145" s="12">
        <f>Source!DD84</f>
      </c>
      <c r="I145" s="14">
        <f>ROUND(Source!AC84*Source!I84,2)</f>
        <v>4043.24</v>
      </c>
      <c r="J145" s="12"/>
      <c r="K145" s="12">
        <f>IF(Source!BC84&lt;&gt;0,Source!BC84,1)</f>
        <v>5.54</v>
      </c>
      <c r="L145" s="14">
        <f>Source!P84</f>
        <v>22399.57</v>
      </c>
      <c r="M145" s="27"/>
    </row>
    <row r="146" spans="1:13" ht="14.25">
      <c r="A146" s="40"/>
      <c r="B146" s="40"/>
      <c r="C146" s="41"/>
      <c r="D146" s="41" t="s">
        <v>738</v>
      </c>
      <c r="E146" s="26" t="s">
        <v>739</v>
      </c>
      <c r="F146" s="10">
        <f>Source!BZ84</f>
        <v>120</v>
      </c>
      <c r="G146" s="75" t="str">
        <f>CONCATENATE(" )",Source!DL84,Source!FT84,"=",Source!FX84)</f>
        <v> )*0,9=108</v>
      </c>
      <c r="H146" s="76"/>
      <c r="I146" s="14">
        <f>SUM(S141:S148)</f>
        <v>1476.15</v>
      </c>
      <c r="J146" s="28"/>
      <c r="K146" s="24">
        <f>Source!AT84</f>
        <v>108</v>
      </c>
      <c r="L146" s="14">
        <f>SUM(T141:T148)</f>
        <v>14495.84</v>
      </c>
      <c r="M146" s="27"/>
    </row>
    <row r="147" spans="1:13" ht="14.25">
      <c r="A147" s="40"/>
      <c r="B147" s="40"/>
      <c r="C147" s="41"/>
      <c r="D147" s="41" t="s">
        <v>740</v>
      </c>
      <c r="E147" s="26" t="s">
        <v>739</v>
      </c>
      <c r="F147" s="10">
        <f>Source!CA84</f>
        <v>65</v>
      </c>
      <c r="G147" s="75" t="str">
        <f>CONCATENATE(" )",Source!DM84,Source!FU84,"=",Source!FY84)</f>
        <v> )*0,85=55,25</v>
      </c>
      <c r="H147" s="76"/>
      <c r="I147" s="14">
        <f>SUM(U141:U148)</f>
        <v>755.16</v>
      </c>
      <c r="J147" s="28"/>
      <c r="K147" s="24">
        <f>Source!AU84</f>
        <v>55</v>
      </c>
      <c r="L147" s="14">
        <f>SUM(V141:V148)</f>
        <v>7382.14</v>
      </c>
      <c r="M147" s="27"/>
    </row>
    <row r="148" spans="1:13" ht="14.25">
      <c r="A148" s="42"/>
      <c r="B148" s="42"/>
      <c r="C148" s="43"/>
      <c r="D148" s="43" t="s">
        <v>741</v>
      </c>
      <c r="E148" s="29" t="s">
        <v>742</v>
      </c>
      <c r="F148" s="30">
        <f>Source!AQ84</f>
        <v>112.75</v>
      </c>
      <c r="G148" s="31"/>
      <c r="H148" s="32" t="str">
        <f>Source!DI84</f>
        <v>)*1,15)*1,25</v>
      </c>
      <c r="I148" s="31"/>
      <c r="J148" s="32"/>
      <c r="K148" s="32"/>
      <c r="L148" s="31"/>
      <c r="M148" s="33">
        <f>Source!U84</f>
        <v>84.280625</v>
      </c>
    </row>
    <row r="149" spans="8:26" ht="15">
      <c r="H149" s="74">
        <f>I142+I143+I145+I146+I147</f>
        <v>7660.27</v>
      </c>
      <c r="I149" s="74"/>
      <c r="K149" s="74">
        <f>L142+L143+L145+L146+L147</f>
        <v>57831.020000000004</v>
      </c>
      <c r="L149" s="74"/>
      <c r="M149" s="34">
        <f>Source!U84</f>
        <v>84.280625</v>
      </c>
      <c r="O149" s="18">
        <f>H149</f>
        <v>7660.27</v>
      </c>
      <c r="P149" s="18">
        <f>K149</f>
        <v>57831.020000000004</v>
      </c>
      <c r="Q149" s="18">
        <f>M149</f>
        <v>84.280625</v>
      </c>
      <c r="W149">
        <f>IF(Source!BI84&lt;=1,I142+I143+I145+I146+I147,0)</f>
        <v>7660.27</v>
      </c>
      <c r="X149">
        <f>IF(Source!BI84=2,I142+I143+I145+I146+I147,0)</f>
        <v>0</v>
      </c>
      <c r="Y149">
        <f>IF(Source!BI84=3,I142+I143+I145+I146+I147,0)</f>
        <v>0</v>
      </c>
      <c r="Z149">
        <f>IF(Source!BI84=4,I142+I143+I145+I146+I147,0)</f>
        <v>0</v>
      </c>
    </row>
    <row r="150" spans="1:22" ht="143.25">
      <c r="A150" s="40">
        <v>20</v>
      </c>
      <c r="B150" s="40" t="str">
        <f>Source!E85</f>
        <v>13</v>
      </c>
      <c r="C150" s="41" t="s">
        <v>756</v>
      </c>
      <c r="D150" s="41" t="str">
        <f>Source!G85</f>
        <v>Устройство колпаков над шахтами</v>
      </c>
      <c r="E150" s="26" t="str">
        <f>Source!H85</f>
        <v>1 КОЛПАК</v>
      </c>
      <c r="F150" s="10">
        <f>Source!I85</f>
        <v>12</v>
      </c>
      <c r="G150" s="14">
        <f>Source!AL85+Source!AM85+Source!AO85</f>
        <v>401.78999999999996</v>
      </c>
      <c r="H150" s="12"/>
      <c r="I150" s="14"/>
      <c r="J150" s="12" t="str">
        <f>Source!BO85</f>
        <v>12-01-011-1</v>
      </c>
      <c r="K150" s="12"/>
      <c r="L150" s="14"/>
      <c r="M150" s="27"/>
      <c r="S150">
        <f>ROUND((Source!FX85/100)*((ROUND(Source!AF85*Source!I85,2)+ROUND(Source!AE85*Source!I85,2))),2)</f>
        <v>581.39</v>
      </c>
      <c r="T150">
        <f>Source!X85</f>
        <v>5709.2</v>
      </c>
      <c r="U150">
        <f>ROUND((Source!FY85/100)*((ROUND(Source!AF85*Source!I85,2)+ROUND(Source!AE85*Source!I85,2))),2)</f>
        <v>297.42</v>
      </c>
      <c r="V150">
        <f>Source!Y85</f>
        <v>2907.47</v>
      </c>
    </row>
    <row r="151" spans="1:18" ht="14.25">
      <c r="A151" s="40"/>
      <c r="B151" s="40"/>
      <c r="C151" s="41"/>
      <c r="D151" s="41" t="s">
        <v>737</v>
      </c>
      <c r="E151" s="26"/>
      <c r="F151" s="10"/>
      <c r="G151" s="14">
        <f>Source!AO85</f>
        <v>31.21</v>
      </c>
      <c r="H151" s="12" t="str">
        <f>Source!DG85</f>
        <v>)*1,15)*1,25</v>
      </c>
      <c r="I151" s="14">
        <f>ROUND(Source!AF85*Source!I85,2)</f>
        <v>538.32</v>
      </c>
      <c r="J151" s="12"/>
      <c r="K151" s="12">
        <f>IF(Source!BA85&lt;&gt;0,Source!BA85,1)</f>
        <v>9.82</v>
      </c>
      <c r="L151" s="14">
        <f>Source!S85</f>
        <v>5286.3</v>
      </c>
      <c r="M151" s="27"/>
      <c r="R151">
        <f>I151</f>
        <v>538.32</v>
      </c>
    </row>
    <row r="152" spans="1:13" ht="14.25">
      <c r="A152" s="40"/>
      <c r="B152" s="40"/>
      <c r="C152" s="41"/>
      <c r="D152" s="41" t="s">
        <v>100</v>
      </c>
      <c r="E152" s="26"/>
      <c r="F152" s="10"/>
      <c r="G152" s="14">
        <f>Source!AM85</f>
        <v>1.2</v>
      </c>
      <c r="H152" s="12" t="str">
        <f>Source!DE85</f>
        <v>)*1,25)*1,25</v>
      </c>
      <c r="I152" s="14">
        <f>ROUND(Source!AD85*Source!I85,2)</f>
        <v>22.56</v>
      </c>
      <c r="J152" s="12"/>
      <c r="K152" s="12">
        <f>IF(Source!BB85&lt;&gt;0,Source!BB85,1)</f>
        <v>5.8</v>
      </c>
      <c r="L152" s="14">
        <f>Source!Q85</f>
        <v>130.85</v>
      </c>
      <c r="M152" s="27"/>
    </row>
    <row r="153" spans="1:13" ht="14.25">
      <c r="A153" s="40"/>
      <c r="B153" s="40"/>
      <c r="C153" s="41"/>
      <c r="D153" s="41" t="s">
        <v>749</v>
      </c>
      <c r="E153" s="26"/>
      <c r="F153" s="10"/>
      <c r="G153" s="14">
        <f>Source!AL85</f>
        <v>369.38</v>
      </c>
      <c r="H153" s="12">
        <f>Source!DD85</f>
      </c>
      <c r="I153" s="14">
        <f>ROUND(Source!AC85*Source!I85,2)</f>
        <v>4432.56</v>
      </c>
      <c r="J153" s="12"/>
      <c r="K153" s="12">
        <f>IF(Source!BC85&lt;&gt;0,Source!BC85,1)</f>
        <v>5.57</v>
      </c>
      <c r="L153" s="14">
        <f>Source!P85</f>
        <v>24689.36</v>
      </c>
      <c r="M153" s="27"/>
    </row>
    <row r="154" spans="1:13" ht="14.25">
      <c r="A154" s="40"/>
      <c r="B154" s="40"/>
      <c r="C154" s="41"/>
      <c r="D154" s="41" t="s">
        <v>738</v>
      </c>
      <c r="E154" s="26" t="s">
        <v>739</v>
      </c>
      <c r="F154" s="10">
        <f>Source!BZ85</f>
        <v>120</v>
      </c>
      <c r="G154" s="75" t="str">
        <f>CONCATENATE(" )",Source!DL85,Source!FT85,"=",Source!FX85)</f>
        <v> )*0,9=108</v>
      </c>
      <c r="H154" s="76"/>
      <c r="I154" s="14">
        <f>SUM(S150:S156)</f>
        <v>581.39</v>
      </c>
      <c r="J154" s="28"/>
      <c r="K154" s="24">
        <f>Source!AT85</f>
        <v>108</v>
      </c>
      <c r="L154" s="14">
        <f>SUM(T150:T156)</f>
        <v>5709.2</v>
      </c>
      <c r="M154" s="27"/>
    </row>
    <row r="155" spans="1:13" ht="14.25">
      <c r="A155" s="40"/>
      <c r="B155" s="40"/>
      <c r="C155" s="41"/>
      <c r="D155" s="41" t="s">
        <v>740</v>
      </c>
      <c r="E155" s="26" t="s">
        <v>739</v>
      </c>
      <c r="F155" s="10">
        <f>Source!CA85</f>
        <v>65</v>
      </c>
      <c r="G155" s="75" t="str">
        <f>CONCATENATE(" )",Source!DM85,Source!FU85,"=",Source!FY85)</f>
        <v> )*0,85=55,25</v>
      </c>
      <c r="H155" s="76"/>
      <c r="I155" s="14">
        <f>SUM(U150:U156)</f>
        <v>297.42</v>
      </c>
      <c r="J155" s="28"/>
      <c r="K155" s="24">
        <f>Source!AU85</f>
        <v>55</v>
      </c>
      <c r="L155" s="14">
        <f>SUM(V150:V156)</f>
        <v>2907.47</v>
      </c>
      <c r="M155" s="27"/>
    </row>
    <row r="156" spans="1:13" ht="14.25">
      <c r="A156" s="42"/>
      <c r="B156" s="42"/>
      <c r="C156" s="43"/>
      <c r="D156" s="43" t="s">
        <v>741</v>
      </c>
      <c r="E156" s="29" t="s">
        <v>742</v>
      </c>
      <c r="F156" s="30">
        <f>Source!AQ85</f>
        <v>1.93</v>
      </c>
      <c r="G156" s="31"/>
      <c r="H156" s="32" t="str">
        <f>Source!DI85</f>
        <v>)*1,15)*1,25</v>
      </c>
      <c r="I156" s="31"/>
      <c r="J156" s="32"/>
      <c r="K156" s="32"/>
      <c r="L156" s="31"/>
      <c r="M156" s="33">
        <f>Source!U85</f>
        <v>33.2925</v>
      </c>
    </row>
    <row r="157" spans="8:26" ht="15">
      <c r="H157" s="74">
        <f>I151+I152+I153+I154+I155</f>
        <v>5872.250000000001</v>
      </c>
      <c r="I157" s="74"/>
      <c r="K157" s="74">
        <f>L151+L152+L153+L154+L155</f>
        <v>38723.18</v>
      </c>
      <c r="L157" s="74"/>
      <c r="M157" s="34">
        <f>Source!U85</f>
        <v>33.2925</v>
      </c>
      <c r="O157" s="18">
        <f>H157</f>
        <v>5872.250000000001</v>
      </c>
      <c r="P157" s="18">
        <f>K157</f>
        <v>38723.18</v>
      </c>
      <c r="Q157" s="18">
        <f>M157</f>
        <v>33.2925</v>
      </c>
      <c r="W157">
        <f>IF(Source!BI85&lt;=1,I151+I152+I153+I154+I155,0)</f>
        <v>5872.250000000001</v>
      </c>
      <c r="X157">
        <f>IF(Source!BI85=2,I151+I152+I153+I154+I155,0)</f>
        <v>0</v>
      </c>
      <c r="Y157">
        <f>IF(Source!BI85=3,I151+I152+I153+I154+I155,0)</f>
        <v>0</v>
      </c>
      <c r="Z157">
        <f>IF(Source!BI85=4,I151+I152+I153+I154+I155,0)</f>
        <v>0</v>
      </c>
    </row>
    <row r="158" spans="1:22" ht="143.25">
      <c r="A158" s="40">
        <v>21</v>
      </c>
      <c r="B158" s="40" t="str">
        <f>Source!E86</f>
        <v>14</v>
      </c>
      <c r="C158" s="41" t="s">
        <v>757</v>
      </c>
      <c r="D158" s="41" t="str">
        <f>Source!G86</f>
        <v>Устройство кровель различных типов из металлочерепицы</v>
      </c>
      <c r="E158" s="26" t="str">
        <f>Source!H86</f>
        <v>100 м2 кровли</v>
      </c>
      <c r="F158" s="10">
        <f>Source!I86</f>
        <v>8</v>
      </c>
      <c r="G158" s="14">
        <f>Source!AL86+Source!AM86+Source!AO86</f>
        <v>23440.06</v>
      </c>
      <c r="H158" s="12"/>
      <c r="I158" s="14"/>
      <c r="J158" s="12" t="str">
        <f>Source!BO86</f>
        <v>12-01-020-1</v>
      </c>
      <c r="K158" s="12"/>
      <c r="L158" s="14"/>
      <c r="M158" s="27"/>
      <c r="S158">
        <f>ROUND((Source!FX86/100)*((ROUND(Source!AF86*Source!I86,2)+ROUND(Source!AE86*Source!I86,2))),2)</f>
        <v>39059.54</v>
      </c>
      <c r="T158">
        <f>Source!X86</f>
        <v>383564.68</v>
      </c>
      <c r="U158">
        <f>ROUND((Source!FY86/100)*((ROUND(Source!AF86*Source!I86,2)+ROUND(Source!AE86*Source!I86,2))),2)</f>
        <v>19981.85</v>
      </c>
      <c r="V158">
        <f>Source!Y86</f>
        <v>195333.86</v>
      </c>
    </row>
    <row r="159" spans="1:18" ht="14.25">
      <c r="A159" s="40"/>
      <c r="B159" s="40"/>
      <c r="C159" s="41"/>
      <c r="D159" s="41" t="s">
        <v>737</v>
      </c>
      <c r="E159" s="26"/>
      <c r="F159" s="10"/>
      <c r="G159" s="14">
        <f>Source!AO86</f>
        <v>3100.1</v>
      </c>
      <c r="H159" s="12" t="str">
        <f>Source!DG86</f>
        <v>)*1,15)*1,25</v>
      </c>
      <c r="I159" s="14">
        <f>ROUND(Source!AF86*Source!I86,2)</f>
        <v>35651.12</v>
      </c>
      <c r="J159" s="12"/>
      <c r="K159" s="12">
        <f>IF(Source!BA86&lt;&gt;0,Source!BA86,1)</f>
        <v>9.82</v>
      </c>
      <c r="L159" s="14">
        <f>Source!S86</f>
        <v>350094</v>
      </c>
      <c r="M159" s="27"/>
      <c r="R159">
        <f>I159</f>
        <v>35651.12</v>
      </c>
    </row>
    <row r="160" spans="1:13" ht="14.25">
      <c r="A160" s="40"/>
      <c r="B160" s="40"/>
      <c r="C160" s="41"/>
      <c r="D160" s="41" t="s">
        <v>100</v>
      </c>
      <c r="E160" s="26"/>
      <c r="F160" s="10"/>
      <c r="G160" s="14">
        <f>Source!AM86</f>
        <v>724.31</v>
      </c>
      <c r="H160" s="12" t="str">
        <f>Source!DE86</f>
        <v>)*1,25)*1,25</v>
      </c>
      <c r="I160" s="14">
        <f>ROUND(Source!AD86*Source!I86,2)</f>
        <v>9053.84</v>
      </c>
      <c r="J160" s="12"/>
      <c r="K160" s="12">
        <f>IF(Source!BB86&lt;&gt;0,Source!BB86,1)</f>
        <v>5.84</v>
      </c>
      <c r="L160" s="14">
        <f>Source!Q86</f>
        <v>52874.43</v>
      </c>
      <c r="M160" s="27"/>
    </row>
    <row r="161" spans="1:18" ht="14.25">
      <c r="A161" s="40"/>
      <c r="B161" s="40"/>
      <c r="C161" s="41"/>
      <c r="D161" s="41" t="s">
        <v>744</v>
      </c>
      <c r="E161" s="26"/>
      <c r="F161" s="10"/>
      <c r="G161" s="14">
        <f>Source!AN86</f>
        <v>41.21</v>
      </c>
      <c r="H161" s="12" t="str">
        <f>Source!DF86</f>
        <v>)*1,25)*1,25</v>
      </c>
      <c r="I161" s="35">
        <f>ROUND(Source!AE86*Source!I86,2)</f>
        <v>515.12</v>
      </c>
      <c r="J161" s="12"/>
      <c r="K161" s="12">
        <f>IF(Source!BS86&lt;&gt;0,Source!BS86,1)</f>
        <v>9.82</v>
      </c>
      <c r="L161" s="35">
        <f>Source!R86</f>
        <v>5058.48</v>
      </c>
      <c r="M161" s="27"/>
      <c r="R161">
        <f>I161</f>
        <v>515.12</v>
      </c>
    </row>
    <row r="162" spans="1:13" ht="14.25">
      <c r="A162" s="40"/>
      <c r="B162" s="40"/>
      <c r="C162" s="41"/>
      <c r="D162" s="41" t="s">
        <v>749</v>
      </c>
      <c r="E162" s="26"/>
      <c r="F162" s="10"/>
      <c r="G162" s="14">
        <f>Source!AL86</f>
        <v>19615.65</v>
      </c>
      <c r="H162" s="12">
        <f>Source!DD86</f>
      </c>
      <c r="I162" s="14">
        <f>ROUND(Source!AC86*Source!I86,2)</f>
        <v>156925.2</v>
      </c>
      <c r="J162" s="12"/>
      <c r="K162" s="12">
        <f>IF(Source!BC86&lt;&gt;0,Source!BC86,1)</f>
        <v>6.33</v>
      </c>
      <c r="L162" s="14">
        <f>Source!P86</f>
        <v>993336.52</v>
      </c>
      <c r="M162" s="27"/>
    </row>
    <row r="163" spans="1:13" ht="14.25">
      <c r="A163" s="40"/>
      <c r="B163" s="40"/>
      <c r="C163" s="41"/>
      <c r="D163" s="41" t="s">
        <v>738</v>
      </c>
      <c r="E163" s="26" t="s">
        <v>739</v>
      </c>
      <c r="F163" s="10">
        <f>Source!BZ86</f>
        <v>120</v>
      </c>
      <c r="G163" s="75" t="str">
        <f>CONCATENATE(" )",Source!DL86,Source!FT86,"=",Source!FX86)</f>
        <v> )*0,9=108</v>
      </c>
      <c r="H163" s="76"/>
      <c r="I163" s="14">
        <f>SUM(S158:S168)</f>
        <v>39059.54</v>
      </c>
      <c r="J163" s="28"/>
      <c r="K163" s="24">
        <f>Source!AT86</f>
        <v>108</v>
      </c>
      <c r="L163" s="14">
        <f>SUM(T158:T168)</f>
        <v>383564.68</v>
      </c>
      <c r="M163" s="27"/>
    </row>
    <row r="164" spans="1:13" ht="14.25">
      <c r="A164" s="40"/>
      <c r="B164" s="40"/>
      <c r="C164" s="41"/>
      <c r="D164" s="41" t="s">
        <v>740</v>
      </c>
      <c r="E164" s="26" t="s">
        <v>739</v>
      </c>
      <c r="F164" s="10">
        <f>Source!CA86</f>
        <v>65</v>
      </c>
      <c r="G164" s="75" t="str">
        <f>CONCATENATE(" )",Source!DM86,Source!FU86,"=",Source!FY86)</f>
        <v> )*0,85=55,25</v>
      </c>
      <c r="H164" s="76"/>
      <c r="I164" s="14">
        <f>SUM(U158:U168)</f>
        <v>19981.85</v>
      </c>
      <c r="J164" s="28"/>
      <c r="K164" s="24">
        <f>Source!AU86</f>
        <v>55</v>
      </c>
      <c r="L164" s="14">
        <f>SUM(V158:V168)</f>
        <v>195333.86</v>
      </c>
      <c r="M164" s="27"/>
    </row>
    <row r="165" spans="1:13" ht="14.25">
      <c r="A165" s="40"/>
      <c r="B165" s="40"/>
      <c r="C165" s="41"/>
      <c r="D165" s="41" t="s">
        <v>741</v>
      </c>
      <c r="E165" s="26" t="s">
        <v>742</v>
      </c>
      <c r="F165" s="10">
        <f>Source!AQ86</f>
        <v>173.87</v>
      </c>
      <c r="G165" s="14"/>
      <c r="H165" s="12" t="str">
        <f>Source!DI86</f>
        <v>)*1,15)*1,25</v>
      </c>
      <c r="I165" s="14"/>
      <c r="J165" s="12"/>
      <c r="K165" s="12"/>
      <c r="L165" s="14"/>
      <c r="M165" s="36">
        <f>Source!U86</f>
        <v>1999.5049999999997</v>
      </c>
    </row>
    <row r="166" spans="1:26" ht="41.25">
      <c r="A166" s="40">
        <v>22</v>
      </c>
      <c r="B166" s="40" t="str">
        <f>Source!E87</f>
        <v>14,1</v>
      </c>
      <c r="C166" s="41" t="str">
        <f>Source!F87</f>
        <v>прайс</v>
      </c>
      <c r="D166" s="41" t="s">
        <v>758</v>
      </c>
      <c r="E166" s="26" t="str">
        <f>Source!H87</f>
        <v>шт.</v>
      </c>
      <c r="F166" s="10">
        <f>Source!I87</f>
        <v>44</v>
      </c>
      <c r="G166" s="14">
        <f>Source!AL87+Source!AM87+Source!AO87</f>
        <v>437.5</v>
      </c>
      <c r="H166" s="39" t="s">
        <v>3</v>
      </c>
      <c r="I166" s="14">
        <f>ROUND(Source!AC87*Source!I87,2)+ROUND(Source!AD87*Source!I87,2)+ROUND(Source!AF87*Source!I87,2)</f>
        <v>19250</v>
      </c>
      <c r="J166" s="12"/>
      <c r="K166" s="12">
        <f>IF(Source!BC87&lt;&gt;0,Source!BC87,1)</f>
        <v>1</v>
      </c>
      <c r="L166" s="14">
        <f>Source!O87</f>
        <v>19250</v>
      </c>
      <c r="M166" s="27"/>
      <c r="S166">
        <f>ROUND((Source!FX87/100)*((ROUND(Source!AF87*Source!I87,2)+ROUND(Source!AE87*Source!I87,2))),2)</f>
        <v>0</v>
      </c>
      <c r="T166">
        <f>Source!X87</f>
        <v>0</v>
      </c>
      <c r="U166">
        <f>ROUND((Source!FY87/100)*((ROUND(Source!AF87*Source!I87,2)+ROUND(Source!AE87*Source!I87,2))),2)</f>
        <v>0</v>
      </c>
      <c r="V166">
        <f>Source!Y87</f>
        <v>0</v>
      </c>
      <c r="W166">
        <f>IF(Source!BI87&lt;=1,I166,0)</f>
        <v>0</v>
      </c>
      <c r="X166">
        <f>IF(Source!BI87=2,I166,0)</f>
        <v>0</v>
      </c>
      <c r="Y166">
        <f>IF(Source!BI87=3,I166,0)</f>
        <v>0</v>
      </c>
      <c r="Z166">
        <f>IF(Source!BI87=4,I166,0)</f>
        <v>19250</v>
      </c>
    </row>
    <row r="167" spans="1:26" ht="41.25">
      <c r="A167" s="40">
        <v>23</v>
      </c>
      <c r="B167" s="40" t="str">
        <f>Source!E88</f>
        <v>14,2</v>
      </c>
      <c r="C167" s="41" t="str">
        <f>Source!F88</f>
        <v>прайс</v>
      </c>
      <c r="D167" s="41" t="s">
        <v>759</v>
      </c>
      <c r="E167" s="26" t="str">
        <f>Source!H88</f>
        <v>шт.</v>
      </c>
      <c r="F167" s="10">
        <f>Source!I88</f>
        <v>66</v>
      </c>
      <c r="G167" s="14">
        <f>Source!AL88+Source!AM88+Source!AO88</f>
        <v>266.67</v>
      </c>
      <c r="H167" s="39" t="s">
        <v>3</v>
      </c>
      <c r="I167" s="14">
        <f>ROUND(Source!AC88*Source!I88,2)+ROUND(Source!AD88*Source!I88,2)+ROUND(Source!AF88*Source!I88,2)</f>
        <v>17600.22</v>
      </c>
      <c r="J167" s="12"/>
      <c r="K167" s="12">
        <f>IF(Source!BC88&lt;&gt;0,Source!BC88,1)</f>
        <v>1</v>
      </c>
      <c r="L167" s="14">
        <f>Source!O88</f>
        <v>17600.22</v>
      </c>
      <c r="M167" s="27"/>
      <c r="S167">
        <f>ROUND((Source!FX88/100)*((ROUND(Source!AF88*Source!I88,2)+ROUND(Source!AE88*Source!I88,2))),2)</f>
        <v>0</v>
      </c>
      <c r="T167">
        <f>Source!X88</f>
        <v>0</v>
      </c>
      <c r="U167">
        <f>ROUND((Source!FY88/100)*((ROUND(Source!AF88*Source!I88,2)+ROUND(Source!AE88*Source!I88,2))),2)</f>
        <v>0</v>
      </c>
      <c r="V167">
        <f>Source!Y88</f>
        <v>0</v>
      </c>
      <c r="W167">
        <f>IF(Source!BI88&lt;=1,I167,0)</f>
        <v>0</v>
      </c>
      <c r="X167">
        <f>IF(Source!BI88=2,I167,0)</f>
        <v>0</v>
      </c>
      <c r="Y167">
        <f>IF(Source!BI88=3,I167,0)</f>
        <v>0</v>
      </c>
      <c r="Z167">
        <f>IF(Source!BI88=4,I167,0)</f>
        <v>17600.22</v>
      </c>
    </row>
    <row r="168" spans="1:26" ht="54">
      <c r="A168" s="42">
        <v>24</v>
      </c>
      <c r="B168" s="42" t="str">
        <f>Source!E89</f>
        <v>14,3</v>
      </c>
      <c r="C168" s="43" t="str">
        <f>Source!F89</f>
        <v>прайс</v>
      </c>
      <c r="D168" s="43" t="s">
        <v>760</v>
      </c>
      <c r="E168" s="29" t="str">
        <f>Source!H89</f>
        <v>м</v>
      </c>
      <c r="F168" s="30">
        <f>Source!I89</f>
        <v>2</v>
      </c>
      <c r="G168" s="31">
        <f>Source!AL89+Source!AM89+Source!AO89</f>
        <v>1916.67</v>
      </c>
      <c r="H168" s="37" t="s">
        <v>3</v>
      </c>
      <c r="I168" s="31">
        <f>ROUND(Source!AC89*Source!I89,2)+ROUND(Source!AD89*Source!I89,2)+ROUND(Source!AF89*Source!I89,2)</f>
        <v>3833.34</v>
      </c>
      <c r="J168" s="32"/>
      <c r="K168" s="32">
        <f>IF(Source!BC89&lt;&gt;0,Source!BC89,1)</f>
        <v>1</v>
      </c>
      <c r="L168" s="31">
        <f>Source!O89</f>
        <v>3833.34</v>
      </c>
      <c r="M168" s="38"/>
      <c r="S168">
        <f>ROUND((Source!FX89/100)*((ROUND(Source!AF89*Source!I89,2)+ROUND(Source!AE89*Source!I89,2))),2)</f>
        <v>0</v>
      </c>
      <c r="T168">
        <f>Source!X89</f>
        <v>0</v>
      </c>
      <c r="U168">
        <f>ROUND((Source!FY89/100)*((ROUND(Source!AF89*Source!I89,2)+ROUND(Source!AE89*Source!I89,2))),2)</f>
        <v>0</v>
      </c>
      <c r="V168">
        <f>Source!Y89</f>
        <v>0</v>
      </c>
      <c r="W168">
        <f>IF(Source!BI89&lt;=1,I168,0)</f>
        <v>0</v>
      </c>
      <c r="X168">
        <f>IF(Source!BI89=2,I168,0)</f>
        <v>0</v>
      </c>
      <c r="Y168">
        <f>IF(Source!BI89=3,I168,0)</f>
        <v>0</v>
      </c>
      <c r="Z168">
        <f>IF(Source!BI89=4,I168,0)</f>
        <v>3833.34</v>
      </c>
    </row>
    <row r="169" spans="8:26" ht="15">
      <c r="H169" s="74">
        <f>I159+I160+I162+I163+I164+SUM(I166:I168)</f>
        <v>301355.11000000004</v>
      </c>
      <c r="I169" s="74"/>
      <c r="K169" s="74">
        <f>L159+L160+L162+L163+L164+SUM(L166:L168)</f>
        <v>2015887.0499999998</v>
      </c>
      <c r="L169" s="74"/>
      <c r="M169" s="34">
        <f>Source!U86</f>
        <v>1999.5049999999997</v>
      </c>
      <c r="O169" s="18">
        <f>H169</f>
        <v>301355.11000000004</v>
      </c>
      <c r="P169" s="18">
        <f>K169</f>
        <v>2015887.0499999998</v>
      </c>
      <c r="Q169" s="18">
        <f>M169</f>
        <v>1999.5049999999997</v>
      </c>
      <c r="W169">
        <f>IF(Source!BI86&lt;=1,I159+I160+I162+I163+I164,0)</f>
        <v>260671.55000000005</v>
      </c>
      <c r="X169">
        <f>IF(Source!BI86=2,I159+I160+I162+I163+I164,0)</f>
        <v>0</v>
      </c>
      <c r="Y169">
        <f>IF(Source!BI86=3,I159+I160+I162+I163+I164,0)</f>
        <v>0</v>
      </c>
      <c r="Z169">
        <f>IF(Source!BI86=4,I159+I160+I162+I163+I164,0)</f>
        <v>0</v>
      </c>
    </row>
    <row r="170" spans="1:22" ht="143.25">
      <c r="A170" s="40">
        <v>25</v>
      </c>
      <c r="B170" s="40" t="str">
        <f>Source!E90</f>
        <v>15</v>
      </c>
      <c r="C170" s="41" t="s">
        <v>761</v>
      </c>
      <c r="D170" s="41" t="str">
        <f>Source!G90</f>
        <v>Прокладка трубопроводов канализации из полиэтиленовых труб высокой плотности диаметром 110 мм</v>
      </c>
      <c r="E170" s="26" t="str">
        <f>Source!H90</f>
        <v>100 м трубопровода</v>
      </c>
      <c r="F170" s="10">
        <f>Source!I90</f>
        <v>0.42</v>
      </c>
      <c r="G170" s="14">
        <f>Source!AL90+Source!AM90+Source!AO90</f>
        <v>7570.9800000000005</v>
      </c>
      <c r="H170" s="12"/>
      <c r="I170" s="14"/>
      <c r="J170" s="12" t="str">
        <f>Source!BO90</f>
        <v>16-04-001-2</v>
      </c>
      <c r="K170" s="12"/>
      <c r="L170" s="14"/>
      <c r="M170" s="27"/>
      <c r="S170">
        <f>ROUND((Source!FX90/100)*((ROUND(Source!AF90*Source!I90,2)+ROUND(Source!AE90*Source!I90,2))),2)</f>
        <v>806.4</v>
      </c>
      <c r="T170">
        <f>Source!X90</f>
        <v>7905.07</v>
      </c>
      <c r="U170">
        <f>ROUND((Source!FY90/100)*((ROUND(Source!AF90*Source!I90,2)+ROUND(Source!AE90*Source!I90,2))),2)</f>
        <v>493.85</v>
      </c>
      <c r="V170">
        <f>Source!Y90</f>
        <v>4880.52</v>
      </c>
    </row>
    <row r="171" spans="1:18" ht="14.25">
      <c r="A171" s="40"/>
      <c r="B171" s="40"/>
      <c r="C171" s="41"/>
      <c r="D171" s="41" t="s">
        <v>737</v>
      </c>
      <c r="E171" s="26"/>
      <c r="F171" s="10"/>
      <c r="G171" s="14">
        <f>Source!AO90</f>
        <v>1158.08</v>
      </c>
      <c r="H171" s="12" t="str">
        <f>Source!DG90</f>
        <v>)*1,15)*1,25</v>
      </c>
      <c r="I171" s="14">
        <f>ROUND(Source!AF90*Source!I90,2)</f>
        <v>699.19</v>
      </c>
      <c r="J171" s="12"/>
      <c r="K171" s="12">
        <f>IF(Source!BA90&lt;&gt;0,Source!BA90,1)</f>
        <v>9.82</v>
      </c>
      <c r="L171" s="14">
        <f>Source!S90</f>
        <v>6866.05</v>
      </c>
      <c r="M171" s="27"/>
      <c r="R171">
        <f>I171</f>
        <v>699.19</v>
      </c>
    </row>
    <row r="172" spans="1:13" ht="14.25">
      <c r="A172" s="40"/>
      <c r="B172" s="40"/>
      <c r="C172" s="41"/>
      <c r="D172" s="41" t="s">
        <v>100</v>
      </c>
      <c r="E172" s="26"/>
      <c r="F172" s="10"/>
      <c r="G172" s="14">
        <f>Source!AM90</f>
        <v>7.88</v>
      </c>
      <c r="H172" s="12" t="str">
        <f>Source!DE90</f>
        <v>)*1,25)*1,25</v>
      </c>
      <c r="I172" s="14">
        <f>ROUND(Source!AD90*Source!I90,2)</f>
        <v>5.17</v>
      </c>
      <c r="J172" s="12"/>
      <c r="K172" s="12">
        <f>IF(Source!BB90&lt;&gt;0,Source!BB90,1)</f>
        <v>7.18</v>
      </c>
      <c r="L172" s="14">
        <f>Source!Q90</f>
        <v>37.12</v>
      </c>
      <c r="M172" s="27"/>
    </row>
    <row r="173" spans="1:18" ht="14.25">
      <c r="A173" s="40"/>
      <c r="B173" s="40"/>
      <c r="C173" s="41"/>
      <c r="D173" s="41" t="s">
        <v>744</v>
      </c>
      <c r="E173" s="26"/>
      <c r="F173" s="10"/>
      <c r="G173" s="14">
        <f>Source!AN90</f>
        <v>1.23</v>
      </c>
      <c r="H173" s="12" t="str">
        <f>Source!DF90</f>
        <v>)*1,25)*1,25</v>
      </c>
      <c r="I173" s="35">
        <f>ROUND(Source!AE90*Source!I90,2)</f>
        <v>0.81</v>
      </c>
      <c r="J173" s="12"/>
      <c r="K173" s="12">
        <f>IF(Source!BS90&lt;&gt;0,Source!BS90,1)</f>
        <v>9.82</v>
      </c>
      <c r="L173" s="35">
        <f>Source!R90</f>
        <v>7.92</v>
      </c>
      <c r="M173" s="27"/>
      <c r="R173">
        <f>I173</f>
        <v>0.81</v>
      </c>
    </row>
    <row r="174" spans="1:13" ht="14.25">
      <c r="A174" s="40"/>
      <c r="B174" s="40"/>
      <c r="C174" s="41"/>
      <c r="D174" s="41" t="s">
        <v>749</v>
      </c>
      <c r="E174" s="26"/>
      <c r="F174" s="10"/>
      <c r="G174" s="14">
        <f>Source!AL90</f>
        <v>6405.02</v>
      </c>
      <c r="H174" s="12">
        <f>Source!DD90</f>
      </c>
      <c r="I174" s="14">
        <f>ROUND(Source!AC90*Source!I90,2)</f>
        <v>2690.11</v>
      </c>
      <c r="J174" s="12"/>
      <c r="K174" s="12">
        <f>IF(Source!BC90&lt;&gt;0,Source!BC90,1)</f>
        <v>3.41</v>
      </c>
      <c r="L174" s="14">
        <f>Source!P90</f>
        <v>9173.27</v>
      </c>
      <c r="M174" s="27"/>
    </row>
    <row r="175" spans="1:13" ht="14.25">
      <c r="A175" s="40"/>
      <c r="B175" s="40"/>
      <c r="C175" s="41"/>
      <c r="D175" s="41" t="s">
        <v>738</v>
      </c>
      <c r="E175" s="26" t="s">
        <v>739</v>
      </c>
      <c r="F175" s="10">
        <f>Source!BZ90</f>
        <v>128</v>
      </c>
      <c r="G175" s="75" t="str">
        <f>CONCATENATE(" )",Source!DL90,Source!FT90,"=",Source!FX90)</f>
        <v> )*0,9=115,2</v>
      </c>
      <c r="H175" s="76"/>
      <c r="I175" s="14">
        <f>SUM(S170:S179)</f>
        <v>806.4</v>
      </c>
      <c r="J175" s="28"/>
      <c r="K175" s="24">
        <f>Source!AT90</f>
        <v>115</v>
      </c>
      <c r="L175" s="14">
        <f>SUM(T170:T179)</f>
        <v>7905.07</v>
      </c>
      <c r="M175" s="27"/>
    </row>
    <row r="176" spans="1:13" ht="14.25">
      <c r="A176" s="40"/>
      <c r="B176" s="40"/>
      <c r="C176" s="41"/>
      <c r="D176" s="41" t="s">
        <v>740</v>
      </c>
      <c r="E176" s="26" t="s">
        <v>739</v>
      </c>
      <c r="F176" s="10">
        <f>Source!CA90</f>
        <v>83</v>
      </c>
      <c r="G176" s="75" t="str">
        <f>CONCATENATE(" )",Source!DM90,Source!FU90,"=",Source!FY90)</f>
        <v> )*0,85=70,55</v>
      </c>
      <c r="H176" s="76"/>
      <c r="I176" s="14">
        <f>SUM(U170:U179)</f>
        <v>493.85</v>
      </c>
      <c r="J176" s="28"/>
      <c r="K176" s="24">
        <f>Source!AU90</f>
        <v>71</v>
      </c>
      <c r="L176" s="14">
        <f>SUM(V170:V179)</f>
        <v>4880.52</v>
      </c>
      <c r="M176" s="27"/>
    </row>
    <row r="177" spans="1:13" ht="14.25">
      <c r="A177" s="40"/>
      <c r="B177" s="40"/>
      <c r="C177" s="41"/>
      <c r="D177" s="41" t="s">
        <v>741</v>
      </c>
      <c r="E177" s="26" t="s">
        <v>742</v>
      </c>
      <c r="F177" s="10">
        <f>Source!AQ90</f>
        <v>61.6</v>
      </c>
      <c r="G177" s="14"/>
      <c r="H177" s="12" t="str">
        <f>Source!DI90</f>
        <v>)*1,15)*1,25</v>
      </c>
      <c r="I177" s="14"/>
      <c r="J177" s="12"/>
      <c r="K177" s="12"/>
      <c r="L177" s="14"/>
      <c r="M177" s="36">
        <f>Source!U90</f>
        <v>37.19099999999999</v>
      </c>
    </row>
    <row r="178" spans="1:26" ht="28.5">
      <c r="A178" s="40">
        <v>26</v>
      </c>
      <c r="B178" s="40" t="str">
        <f>Source!E91</f>
        <v>15,1</v>
      </c>
      <c r="C178" s="41" t="str">
        <f>Source!F91</f>
        <v>509-5778</v>
      </c>
      <c r="D178" s="41" t="str">
        <f>Source!G91</f>
        <v>Держатель с защелкой "DKC" для труб диаметром 110 мм</v>
      </c>
      <c r="E178" s="26" t="str">
        <f>Source!H91</f>
        <v>100 шт.</v>
      </c>
      <c r="F178" s="10">
        <f>Source!I91</f>
        <v>0.42</v>
      </c>
      <c r="G178" s="14">
        <f>Source!AL91+Source!AM91+Source!AO91</f>
        <v>120</v>
      </c>
      <c r="H178" s="39" t="s">
        <v>3</v>
      </c>
      <c r="I178" s="14">
        <f>ROUND(Source!AC91*Source!I91,2)+ROUND(Source!AD91*Source!I91,2)+ROUND(Source!AF91*Source!I91,2)</f>
        <v>50.4</v>
      </c>
      <c r="J178" s="12"/>
      <c r="K178" s="12">
        <f>IF(Source!BC91&lt;&gt;0,Source!BC91,1)</f>
        <v>17.67</v>
      </c>
      <c r="L178" s="14">
        <f>Source!O91</f>
        <v>890.57</v>
      </c>
      <c r="M178" s="27"/>
      <c r="S178">
        <f>ROUND((Source!FX91/100)*((ROUND(Source!AF91*Source!I91,2)+ROUND(Source!AE91*Source!I91,2))),2)</f>
        <v>0</v>
      </c>
      <c r="T178">
        <f>Source!X91</f>
        <v>0</v>
      </c>
      <c r="U178">
        <f>ROUND((Source!FY91/100)*((ROUND(Source!AF91*Source!I91,2)+ROUND(Source!AE91*Source!I91,2))),2)</f>
        <v>0</v>
      </c>
      <c r="V178">
        <f>Source!Y91</f>
        <v>0</v>
      </c>
      <c r="W178">
        <f>IF(Source!BI91&lt;=1,I178,0)</f>
        <v>0</v>
      </c>
      <c r="X178">
        <f>IF(Source!BI91=2,I178,0)</f>
        <v>50.4</v>
      </c>
      <c r="Y178">
        <f>IF(Source!BI91=3,I178,0)</f>
        <v>0</v>
      </c>
      <c r="Z178">
        <f>IF(Source!BI91=4,I178,0)</f>
        <v>0</v>
      </c>
    </row>
    <row r="179" spans="1:26" ht="54">
      <c r="A179" s="42">
        <v>27</v>
      </c>
      <c r="B179" s="42" t="str">
        <f>Source!E92</f>
        <v>15,2</v>
      </c>
      <c r="C179" s="43" t="str">
        <f>Source!F92</f>
        <v>прайс</v>
      </c>
      <c r="D179" s="43" t="s">
        <v>762</v>
      </c>
      <c r="E179" s="29" t="str">
        <f>Source!H92</f>
        <v>шт.</v>
      </c>
      <c r="F179" s="30">
        <f>Source!I92</f>
        <v>12</v>
      </c>
      <c r="G179" s="31">
        <f>Source!AL92+Source!AM92+Source!AO92</f>
        <v>1833.33</v>
      </c>
      <c r="H179" s="37" t="s">
        <v>3</v>
      </c>
      <c r="I179" s="31">
        <f>ROUND(Source!AC92*Source!I92,2)+ROUND(Source!AD92*Source!I92,2)+ROUND(Source!AF92*Source!I92,2)</f>
        <v>21999.96</v>
      </c>
      <c r="J179" s="32"/>
      <c r="K179" s="32">
        <f>IF(Source!BC92&lt;&gt;0,Source!BC92,1)</f>
        <v>1</v>
      </c>
      <c r="L179" s="31">
        <f>Source!O92</f>
        <v>21999.96</v>
      </c>
      <c r="M179" s="38"/>
      <c r="S179">
        <f>ROUND((Source!FX92/100)*((ROUND(Source!AF92*Source!I92,2)+ROUND(Source!AE92*Source!I92,2))),2)</f>
        <v>0</v>
      </c>
      <c r="T179">
        <f>Source!X92</f>
        <v>0</v>
      </c>
      <c r="U179">
        <f>ROUND((Source!FY92/100)*((ROUND(Source!AF92*Source!I92,2)+ROUND(Source!AE92*Source!I92,2))),2)</f>
        <v>0</v>
      </c>
      <c r="V179">
        <f>Source!Y92</f>
        <v>0</v>
      </c>
      <c r="W179">
        <f>IF(Source!BI92&lt;=1,I179,0)</f>
        <v>0</v>
      </c>
      <c r="X179">
        <f>IF(Source!BI92=2,I179,0)</f>
        <v>0</v>
      </c>
      <c r="Y179">
        <f>IF(Source!BI92=3,I179,0)</f>
        <v>0</v>
      </c>
      <c r="Z179">
        <f>IF(Source!BI92=4,I179,0)</f>
        <v>21999.96</v>
      </c>
    </row>
    <row r="180" spans="8:26" ht="15">
      <c r="H180" s="74">
        <f>I171+I172+I174+I175+I176+SUM(I178:I179)</f>
        <v>26745.08</v>
      </c>
      <c r="I180" s="74"/>
      <c r="K180" s="74">
        <f>L171+L172+L174+L175+L176+SUM(L178:L179)</f>
        <v>51752.56</v>
      </c>
      <c r="L180" s="74"/>
      <c r="M180" s="34">
        <f>Source!U90</f>
        <v>37.19099999999999</v>
      </c>
      <c r="O180" s="18">
        <f>H180</f>
        <v>26745.08</v>
      </c>
      <c r="P180" s="18">
        <f>K180</f>
        <v>51752.56</v>
      </c>
      <c r="Q180" s="18">
        <f>M180</f>
        <v>37.19099999999999</v>
      </c>
      <c r="W180">
        <f>IF(Source!BI90&lt;=1,I171+I172+I174+I175+I176,0)</f>
        <v>4694.72</v>
      </c>
      <c r="X180">
        <f>IF(Source!BI90=2,I171+I172+I174+I175+I176,0)</f>
        <v>0</v>
      </c>
      <c r="Y180">
        <f>IF(Source!BI90=3,I171+I172+I174+I175+I176,0)</f>
        <v>0</v>
      </c>
      <c r="Z180">
        <f>IF(Source!BI90=4,I171+I172+I174+I175+I176,0)</f>
        <v>0</v>
      </c>
    </row>
    <row r="181" spans="1:22" ht="171">
      <c r="A181" s="40">
        <v>28</v>
      </c>
      <c r="B181" s="40" t="str">
        <f>Source!E93</f>
        <v>16</v>
      </c>
      <c r="C181" s="41" t="s">
        <v>763</v>
      </c>
      <c r="D181" s="41" t="str">
        <f>Source!G93</f>
        <v>Устройство карнизов</v>
      </c>
      <c r="E181" s="26" t="str">
        <f>Source!H93</f>
        <v>100 м2 стен, фронтонов (за вычетом проемов) и развернутых поверхностей карнизов</v>
      </c>
      <c r="F181" s="10">
        <f>Source!I93</f>
        <v>0.18</v>
      </c>
      <c r="G181" s="14">
        <f>Source!AL93+Source!AM93+Source!AO93</f>
        <v>8487.74</v>
      </c>
      <c r="H181" s="12"/>
      <c r="I181" s="14"/>
      <c r="J181" s="12" t="str">
        <f>Source!BO93</f>
        <v>10-01-008-5</v>
      </c>
      <c r="K181" s="12"/>
      <c r="L181" s="14"/>
      <c r="M181" s="27"/>
      <c r="S181">
        <f>ROUND((Source!FX93/100)*((ROUND(Source!AF93*Source!I93,2)+ROUND(Source!AE93*Source!I93,2))),2)</f>
        <v>635.41</v>
      </c>
      <c r="T181">
        <f>Source!X93</f>
        <v>6227.93</v>
      </c>
      <c r="U181">
        <f>ROUND((Source!FY93/100)*((ROUND(Source!AF93*Source!I93,2)+ROUND(Source!AE93*Source!I93,2))),2)</f>
        <v>320.4</v>
      </c>
      <c r="V181">
        <f>Source!Y93</f>
        <v>3172.72</v>
      </c>
    </row>
    <row r="182" spans="1:18" ht="14.25">
      <c r="A182" s="40"/>
      <c r="B182" s="40"/>
      <c r="C182" s="41"/>
      <c r="D182" s="41" t="s">
        <v>737</v>
      </c>
      <c r="E182" s="26"/>
      <c r="F182" s="10"/>
      <c r="G182" s="14">
        <f>Source!AO93</f>
        <v>2312.31</v>
      </c>
      <c r="H182" s="12" t="str">
        <f>Source!DG93</f>
        <v>)*1,15)*1,25</v>
      </c>
      <c r="I182" s="14">
        <f>ROUND(Source!AF93*Source!I93,2)</f>
        <v>598.31</v>
      </c>
      <c r="J182" s="12"/>
      <c r="K182" s="12">
        <f>IF(Source!BA93&lt;&gt;0,Source!BA93,1)</f>
        <v>9.82</v>
      </c>
      <c r="L182" s="14">
        <f>Source!S93</f>
        <v>5875.41</v>
      </c>
      <c r="M182" s="27"/>
      <c r="R182">
        <f>I182</f>
        <v>598.31</v>
      </c>
    </row>
    <row r="183" spans="1:13" ht="14.25">
      <c r="A183" s="40"/>
      <c r="B183" s="40"/>
      <c r="C183" s="41"/>
      <c r="D183" s="41" t="s">
        <v>100</v>
      </c>
      <c r="E183" s="26"/>
      <c r="F183" s="10"/>
      <c r="G183" s="14">
        <f>Source!AM93</f>
        <v>109.36</v>
      </c>
      <c r="H183" s="12" t="str">
        <f>Source!DE93</f>
        <v>)*1,25)*1,25</v>
      </c>
      <c r="I183" s="14">
        <f>ROUND(Source!AD93*Source!I93,2)</f>
        <v>30.76</v>
      </c>
      <c r="J183" s="12"/>
      <c r="K183" s="12">
        <f>IF(Source!BB93&lt;&gt;0,Source!BB93,1)</f>
        <v>5.8</v>
      </c>
      <c r="L183" s="14">
        <f>Source!Q93</f>
        <v>178.4</v>
      </c>
      <c r="M183" s="27"/>
    </row>
    <row r="184" spans="1:13" ht="14.25">
      <c r="A184" s="40"/>
      <c r="B184" s="40"/>
      <c r="C184" s="41"/>
      <c r="D184" s="41" t="s">
        <v>749</v>
      </c>
      <c r="E184" s="26"/>
      <c r="F184" s="10"/>
      <c r="G184" s="14">
        <f>Source!AL93</f>
        <v>6066.07</v>
      </c>
      <c r="H184" s="12">
        <f>Source!DD93</f>
      </c>
      <c r="I184" s="14">
        <f>ROUND(Source!AC93*Source!I93,2)</f>
        <v>1091.89</v>
      </c>
      <c r="J184" s="12"/>
      <c r="K184" s="12">
        <f>IF(Source!BC93&lt;&gt;0,Source!BC93,1)</f>
        <v>4.94</v>
      </c>
      <c r="L184" s="14">
        <f>Source!P93</f>
        <v>5393.95</v>
      </c>
      <c r="M184" s="27"/>
    </row>
    <row r="185" spans="1:13" ht="14.25">
      <c r="A185" s="40"/>
      <c r="B185" s="40"/>
      <c r="C185" s="41"/>
      <c r="D185" s="41" t="s">
        <v>738</v>
      </c>
      <c r="E185" s="26" t="s">
        <v>739</v>
      </c>
      <c r="F185" s="10">
        <f>Source!BZ93</f>
        <v>118</v>
      </c>
      <c r="G185" s="75" t="str">
        <f>CONCATENATE(" )",Source!DL93,Source!FT93,"=",Source!FX93)</f>
        <v> )*0,9=106,2</v>
      </c>
      <c r="H185" s="76"/>
      <c r="I185" s="14">
        <f>SUM(S181:S187)</f>
        <v>635.41</v>
      </c>
      <c r="J185" s="28"/>
      <c r="K185" s="24">
        <f>Source!AT93</f>
        <v>106</v>
      </c>
      <c r="L185" s="14">
        <f>SUM(T181:T187)</f>
        <v>6227.93</v>
      </c>
      <c r="M185" s="27"/>
    </row>
    <row r="186" spans="1:13" ht="14.25">
      <c r="A186" s="40"/>
      <c r="B186" s="40"/>
      <c r="C186" s="41"/>
      <c r="D186" s="41" t="s">
        <v>740</v>
      </c>
      <c r="E186" s="26" t="s">
        <v>739</v>
      </c>
      <c r="F186" s="10">
        <f>Source!CA93</f>
        <v>63</v>
      </c>
      <c r="G186" s="75" t="str">
        <f>CONCATENATE(" )",Source!DM93,Source!FU93,"=",Source!FY93)</f>
        <v> )*0,85=53,55</v>
      </c>
      <c r="H186" s="76"/>
      <c r="I186" s="14">
        <f>SUM(U181:U187)</f>
        <v>320.4</v>
      </c>
      <c r="J186" s="28"/>
      <c r="K186" s="24">
        <f>Source!AU93</f>
        <v>54</v>
      </c>
      <c r="L186" s="14">
        <f>SUM(V181:V187)</f>
        <v>3172.72</v>
      </c>
      <c r="M186" s="27"/>
    </row>
    <row r="187" spans="1:13" ht="14.25">
      <c r="A187" s="42"/>
      <c r="B187" s="42"/>
      <c r="C187" s="43"/>
      <c r="D187" s="43" t="s">
        <v>741</v>
      </c>
      <c r="E187" s="29" t="s">
        <v>742</v>
      </c>
      <c r="F187" s="30">
        <f>Source!AQ93</f>
        <v>143</v>
      </c>
      <c r="G187" s="31"/>
      <c r="H187" s="32" t="str">
        <f>Source!DI93</f>
        <v>)*1,15)*1,25</v>
      </c>
      <c r="I187" s="31"/>
      <c r="J187" s="32"/>
      <c r="K187" s="32"/>
      <c r="L187" s="31"/>
      <c r="M187" s="33">
        <f>Source!U93</f>
        <v>37.00125</v>
      </c>
    </row>
    <row r="188" spans="8:26" ht="15">
      <c r="H188" s="74">
        <f>I182+I183+I184+I185+I186</f>
        <v>2676.77</v>
      </c>
      <c r="I188" s="74"/>
      <c r="K188" s="74">
        <f>L182+L183+L184+L185+L186</f>
        <v>20848.41</v>
      </c>
      <c r="L188" s="74"/>
      <c r="M188" s="34">
        <f>Source!U93</f>
        <v>37.00125</v>
      </c>
      <c r="O188" s="18">
        <f>H188</f>
        <v>2676.77</v>
      </c>
      <c r="P188" s="18">
        <f>K188</f>
        <v>20848.41</v>
      </c>
      <c r="Q188" s="18">
        <f>M188</f>
        <v>37.00125</v>
      </c>
      <c r="W188">
        <f>IF(Source!BI93&lt;=1,I182+I183+I184+I185+I186,0)</f>
        <v>2676.77</v>
      </c>
      <c r="X188">
        <f>IF(Source!BI93=2,I182+I183+I184+I185+I186,0)</f>
        <v>0</v>
      </c>
      <c r="Y188">
        <f>IF(Source!BI93=3,I182+I183+I184+I185+I186,0)</f>
        <v>0</v>
      </c>
      <c r="Z188">
        <f>IF(Source!BI93=4,I182+I183+I184+I185+I186,0)</f>
        <v>0</v>
      </c>
    </row>
    <row r="189" spans="1:22" ht="143.25">
      <c r="A189" s="40">
        <v>29</v>
      </c>
      <c r="B189" s="40" t="str">
        <f>Source!E94</f>
        <v>17</v>
      </c>
      <c r="C189" s="41" t="s">
        <v>764</v>
      </c>
      <c r="D189" s="41" t="str">
        <f>Source!G94</f>
        <v>Установка снегодрежателя</v>
      </c>
      <c r="E189" s="26" t="str">
        <f>Source!H94</f>
        <v>100 м ограждения</v>
      </c>
      <c r="F189" s="10">
        <f>Source!I94</f>
        <v>0.7</v>
      </c>
      <c r="G189" s="14">
        <f>Source!AL94+Source!AM94+Source!AO94</f>
        <v>4134.92</v>
      </c>
      <c r="H189" s="12"/>
      <c r="I189" s="14"/>
      <c r="J189" s="12" t="str">
        <f>Source!BO94</f>
        <v>12-01-012-1</v>
      </c>
      <c r="K189" s="12"/>
      <c r="L189" s="14"/>
      <c r="M189" s="27"/>
      <c r="S189">
        <f>ROUND((Source!FX94/100)*((ROUND(Source!AF94*Source!I94,2)+ROUND(Source!AE94*Source!I94,2))),2)</f>
        <v>130.11</v>
      </c>
      <c r="T189">
        <f>Source!X94</f>
        <v>1277.66</v>
      </c>
      <c r="U189">
        <f>ROUND((Source!FY94/100)*((ROUND(Source!AF94*Source!I94,2)+ROUND(Source!AE94*Source!I94,2))),2)</f>
        <v>66.56</v>
      </c>
      <c r="V189">
        <f>Source!Y94</f>
        <v>650.66</v>
      </c>
    </row>
    <row r="190" spans="1:18" ht="14.25">
      <c r="A190" s="40"/>
      <c r="B190" s="40"/>
      <c r="C190" s="41"/>
      <c r="D190" s="41" t="s">
        <v>737</v>
      </c>
      <c r="E190" s="26"/>
      <c r="F190" s="10"/>
      <c r="G190" s="14">
        <f>Source!AO94</f>
        <v>111.99</v>
      </c>
      <c r="H190" s="12" t="str">
        <f>Source!DG94</f>
        <v>)*1,15)*1,25</v>
      </c>
      <c r="I190" s="14">
        <f>ROUND(Source!AF94*Source!I94,2)</f>
        <v>112.69</v>
      </c>
      <c r="J190" s="12"/>
      <c r="K190" s="12">
        <f>IF(Source!BA94&lt;&gt;0,Source!BA94,1)</f>
        <v>9.82</v>
      </c>
      <c r="L190" s="14">
        <f>Source!S94</f>
        <v>1106.65</v>
      </c>
      <c r="M190" s="27"/>
      <c r="R190">
        <f>I190</f>
        <v>112.69</v>
      </c>
    </row>
    <row r="191" spans="1:13" ht="14.25">
      <c r="A191" s="40"/>
      <c r="B191" s="40"/>
      <c r="C191" s="41"/>
      <c r="D191" s="41" t="s">
        <v>100</v>
      </c>
      <c r="E191" s="26"/>
      <c r="F191" s="10"/>
      <c r="G191" s="14">
        <f>Source!AM94</f>
        <v>64.13</v>
      </c>
      <c r="H191" s="12" t="str">
        <f>Source!DE94</f>
        <v>)*1,25)*1,25</v>
      </c>
      <c r="I191" s="14">
        <f>ROUND(Source!AD94*Source!I94,2)</f>
        <v>70.14</v>
      </c>
      <c r="J191" s="12"/>
      <c r="K191" s="12">
        <f>IF(Source!BB94&lt;&gt;0,Source!BB94,1)</f>
        <v>7.16</v>
      </c>
      <c r="L191" s="14">
        <f>Source!Q94</f>
        <v>502.2</v>
      </c>
      <c r="M191" s="27"/>
    </row>
    <row r="192" spans="1:18" ht="14.25">
      <c r="A192" s="40"/>
      <c r="B192" s="40"/>
      <c r="C192" s="41"/>
      <c r="D192" s="41" t="s">
        <v>744</v>
      </c>
      <c r="E192" s="26"/>
      <c r="F192" s="10"/>
      <c r="G192" s="14">
        <f>Source!AN94</f>
        <v>7.11</v>
      </c>
      <c r="H192" s="12" t="str">
        <f>Source!DF94</f>
        <v>)*1,25)*1,25</v>
      </c>
      <c r="I192" s="35">
        <f>ROUND(Source!AE94*Source!I94,2)</f>
        <v>7.78</v>
      </c>
      <c r="J192" s="12"/>
      <c r="K192" s="12">
        <f>IF(Source!BS94&lt;&gt;0,Source!BS94,1)</f>
        <v>9.82</v>
      </c>
      <c r="L192" s="35">
        <f>Source!R94</f>
        <v>76.37</v>
      </c>
      <c r="M192" s="27"/>
      <c r="R192">
        <f>I192</f>
        <v>7.78</v>
      </c>
    </row>
    <row r="193" spans="1:13" ht="14.25">
      <c r="A193" s="40"/>
      <c r="B193" s="40"/>
      <c r="C193" s="41"/>
      <c r="D193" s="41" t="s">
        <v>749</v>
      </c>
      <c r="E193" s="26"/>
      <c r="F193" s="10"/>
      <c r="G193" s="14">
        <f>Source!AL94</f>
        <v>3958.8</v>
      </c>
      <c r="H193" s="12">
        <f>Source!DD94</f>
      </c>
      <c r="I193" s="14">
        <f>ROUND(Source!AC94*Source!I94,2)</f>
        <v>2771.16</v>
      </c>
      <c r="J193" s="12"/>
      <c r="K193" s="12">
        <f>IF(Source!BC94&lt;&gt;0,Source!BC94,1)</f>
        <v>6.33</v>
      </c>
      <c r="L193" s="14">
        <f>Source!P94</f>
        <v>17541.44</v>
      </c>
      <c r="M193" s="27"/>
    </row>
    <row r="194" spans="1:13" ht="14.25">
      <c r="A194" s="40"/>
      <c r="B194" s="40"/>
      <c r="C194" s="41"/>
      <c r="D194" s="41" t="s">
        <v>738</v>
      </c>
      <c r="E194" s="26" t="s">
        <v>739</v>
      </c>
      <c r="F194" s="10">
        <f>Source!BZ94</f>
        <v>120</v>
      </c>
      <c r="G194" s="75" t="str">
        <f>CONCATENATE(" )",Source!DL94,Source!FT94,"=",Source!FX94)</f>
        <v> )*0,9=108</v>
      </c>
      <c r="H194" s="76"/>
      <c r="I194" s="14">
        <f>SUM(S189:S199)</f>
        <v>130.11</v>
      </c>
      <c r="J194" s="28"/>
      <c r="K194" s="24">
        <f>Source!AT94</f>
        <v>108</v>
      </c>
      <c r="L194" s="14">
        <f>SUM(T189:T199)</f>
        <v>1277.66</v>
      </c>
      <c r="M194" s="27"/>
    </row>
    <row r="195" spans="1:13" ht="14.25">
      <c r="A195" s="40"/>
      <c r="B195" s="40"/>
      <c r="C195" s="41"/>
      <c r="D195" s="41" t="s">
        <v>740</v>
      </c>
      <c r="E195" s="26" t="s">
        <v>739</v>
      </c>
      <c r="F195" s="10">
        <f>Source!CA94</f>
        <v>65</v>
      </c>
      <c r="G195" s="75" t="str">
        <f>CONCATENATE(" )",Source!DM94,Source!FU94,"=",Source!FY94)</f>
        <v> )*0,85=55,25</v>
      </c>
      <c r="H195" s="76"/>
      <c r="I195" s="14">
        <f>SUM(U189:U199)</f>
        <v>66.56</v>
      </c>
      <c r="J195" s="28"/>
      <c r="K195" s="24">
        <f>Source!AU94</f>
        <v>55</v>
      </c>
      <c r="L195" s="14">
        <f>SUM(V189:V199)</f>
        <v>650.66</v>
      </c>
      <c r="M195" s="27"/>
    </row>
    <row r="196" spans="1:13" ht="14.25">
      <c r="A196" s="40"/>
      <c r="B196" s="40"/>
      <c r="C196" s="41"/>
      <c r="D196" s="41" t="s">
        <v>741</v>
      </c>
      <c r="E196" s="26" t="s">
        <v>742</v>
      </c>
      <c r="F196" s="10">
        <f>Source!AQ94</f>
        <v>6.67</v>
      </c>
      <c r="G196" s="14"/>
      <c r="H196" s="12" t="str">
        <f>Source!DI94</f>
        <v>)*1,15)*1,25</v>
      </c>
      <c r="I196" s="14"/>
      <c r="J196" s="12"/>
      <c r="K196" s="12"/>
      <c r="L196" s="14"/>
      <c r="M196" s="36">
        <f>Source!U94</f>
        <v>6.711687499999999</v>
      </c>
    </row>
    <row r="197" spans="1:26" ht="41.25">
      <c r="A197" s="40">
        <v>30</v>
      </c>
      <c r="B197" s="40" t="str">
        <f>Source!E95</f>
        <v>17,1</v>
      </c>
      <c r="C197" s="41" t="str">
        <f>Source!F95</f>
        <v>прайс</v>
      </c>
      <c r="D197" s="41" t="s">
        <v>765</v>
      </c>
      <c r="E197" s="26" t="str">
        <f>Source!H95</f>
        <v>м</v>
      </c>
      <c r="F197" s="10">
        <f>Source!I95</f>
        <v>70</v>
      </c>
      <c r="G197" s="14">
        <f>Source!AL95+Source!AM95+Source!AO95</f>
        <v>666.67</v>
      </c>
      <c r="H197" s="39" t="s">
        <v>3</v>
      </c>
      <c r="I197" s="14">
        <f>ROUND(Source!AC95*Source!I95,2)+ROUND(Source!AD95*Source!I95,2)+ROUND(Source!AF95*Source!I95,2)</f>
        <v>46666.9</v>
      </c>
      <c r="J197" s="12"/>
      <c r="K197" s="12">
        <f>IF(Source!BC95&lt;&gt;0,Source!BC95,1)</f>
        <v>1</v>
      </c>
      <c r="L197" s="14">
        <f>Source!O95</f>
        <v>46666.9</v>
      </c>
      <c r="M197" s="27"/>
      <c r="S197">
        <f>ROUND((Source!FX95/100)*((ROUND(Source!AF95*Source!I95,2)+ROUND(Source!AE95*Source!I95,2))),2)</f>
        <v>0</v>
      </c>
      <c r="T197">
        <f>Source!X95</f>
        <v>0</v>
      </c>
      <c r="U197">
        <f>ROUND((Source!FY95/100)*((ROUND(Source!AF95*Source!I95,2)+ROUND(Source!AE95*Source!I95,2))),2)</f>
        <v>0</v>
      </c>
      <c r="V197">
        <f>Source!Y95</f>
        <v>0</v>
      </c>
      <c r="W197">
        <f>IF(Source!BI95&lt;=1,I197,0)</f>
        <v>0</v>
      </c>
      <c r="X197">
        <f>IF(Source!BI95=2,I197,0)</f>
        <v>0</v>
      </c>
      <c r="Y197">
        <f>IF(Source!BI95=3,I197,0)</f>
        <v>0</v>
      </c>
      <c r="Z197">
        <f>IF(Source!BI95=4,I197,0)</f>
        <v>46666.9</v>
      </c>
    </row>
    <row r="198" spans="1:26" ht="42.75">
      <c r="A198" s="40">
        <v>31</v>
      </c>
      <c r="B198" s="40" t="str">
        <f>Source!E96</f>
        <v>17,2</v>
      </c>
      <c r="C198" s="41" t="str">
        <f>Source!F96</f>
        <v>101-7317</v>
      </c>
      <c r="D198" s="41" t="str">
        <f>Source!G96</f>
        <v>Дополнительные элементы металлочерепичной кровли: планка для снегозадержателя длиной 2000 мм</v>
      </c>
      <c r="E198" s="26" t="str">
        <f>Source!H96</f>
        <v>шт.</v>
      </c>
      <c r="F198" s="10">
        <f>Source!I96</f>
        <v>35</v>
      </c>
      <c r="G198" s="14">
        <f>Source!AL96+Source!AM96+Source!AO96</f>
        <v>128.6</v>
      </c>
      <c r="H198" s="39" t="s">
        <v>3</v>
      </c>
      <c r="I198" s="14">
        <f>ROUND(Source!AC96*Source!I96,2)+ROUND(Source!AD96*Source!I96,2)+ROUND(Source!AF96*Source!I96,2)</f>
        <v>4501</v>
      </c>
      <c r="J198" s="12"/>
      <c r="K198" s="12">
        <f>IF(Source!BC96&lt;&gt;0,Source!BC96,1)</f>
        <v>2.8</v>
      </c>
      <c r="L198" s="14">
        <f>Source!O96</f>
        <v>12602.8</v>
      </c>
      <c r="M198" s="27"/>
      <c r="S198">
        <f>ROUND((Source!FX96/100)*((ROUND(Source!AF96*Source!I96,2)+ROUND(Source!AE96*Source!I96,2))),2)</f>
        <v>0</v>
      </c>
      <c r="T198">
        <f>Source!X96</f>
        <v>0</v>
      </c>
      <c r="U198">
        <f>ROUND((Source!FY96/100)*((ROUND(Source!AF96*Source!I96,2)+ROUND(Source!AE96*Source!I96,2))),2)</f>
        <v>0</v>
      </c>
      <c r="V198">
        <f>Source!Y96</f>
        <v>0</v>
      </c>
      <c r="W198">
        <f>IF(Source!BI96&lt;=1,I198,0)</f>
        <v>4501</v>
      </c>
      <c r="X198">
        <f>IF(Source!BI96=2,I198,0)</f>
        <v>0</v>
      </c>
      <c r="Y198">
        <f>IF(Source!BI96=3,I198,0)</f>
        <v>0</v>
      </c>
      <c r="Z198">
        <f>IF(Source!BI96=4,I198,0)</f>
        <v>0</v>
      </c>
    </row>
    <row r="199" spans="1:26" ht="85.5">
      <c r="A199" s="42">
        <v>32</v>
      </c>
      <c r="B199" s="42" t="str">
        <f>Source!E97</f>
        <v>17,3</v>
      </c>
      <c r="C199" s="43" t="str">
        <f>Source!F97</f>
        <v>201-0777</v>
      </c>
      <c r="D199" s="43" t="str">
        <f>Source!G97</f>
        <v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v>
      </c>
      <c r="E199" s="29" t="str">
        <f>Source!H97</f>
        <v>т</v>
      </c>
      <c r="F199" s="30">
        <f>Source!I97</f>
        <v>-0.21</v>
      </c>
      <c r="G199" s="31">
        <f>Source!AL97+Source!AM97+Source!AO97</f>
        <v>13088.27</v>
      </c>
      <c r="H199" s="37" t="s">
        <v>3</v>
      </c>
      <c r="I199" s="31">
        <f>ROUND(Source!AC97*Source!I97,2)+ROUND(Source!AD97*Source!I97,2)+ROUND(Source!AF97*Source!I97,2)</f>
        <v>-2748.54</v>
      </c>
      <c r="J199" s="32"/>
      <c r="K199" s="32">
        <f>IF(Source!BC97&lt;&gt;0,Source!BC97,1)</f>
        <v>6.34</v>
      </c>
      <c r="L199" s="31">
        <f>Source!O97</f>
        <v>-17425.72</v>
      </c>
      <c r="M199" s="38"/>
      <c r="S199">
        <f>ROUND((Source!FX97/100)*((ROUND(Source!AF97*Source!I97,2)+ROUND(Source!AE97*Source!I97,2))),2)</f>
        <v>0</v>
      </c>
      <c r="T199">
        <f>Source!X97</f>
        <v>0</v>
      </c>
      <c r="U199">
        <f>ROUND((Source!FY97/100)*((ROUND(Source!AF97*Source!I97,2)+ROUND(Source!AE97*Source!I97,2))),2)</f>
        <v>0</v>
      </c>
      <c r="V199">
        <f>Source!Y97</f>
        <v>0</v>
      </c>
      <c r="W199">
        <f>IF(Source!BI97&lt;=1,I199,0)</f>
        <v>-2748.54</v>
      </c>
      <c r="X199">
        <f>IF(Source!BI97=2,I199,0)</f>
        <v>0</v>
      </c>
      <c r="Y199">
        <f>IF(Source!BI97=3,I199,0)</f>
        <v>0</v>
      </c>
      <c r="Z199">
        <f>IF(Source!BI97=4,I199,0)</f>
        <v>0</v>
      </c>
    </row>
    <row r="200" spans="8:26" ht="15">
      <c r="H200" s="74">
        <f>I190+I191+I193+I194+I195+SUM(I197:I199)</f>
        <v>51570.020000000004</v>
      </c>
      <c r="I200" s="74"/>
      <c r="K200" s="74">
        <f>L190+L191+L193+L194+L195+SUM(L197:L199)</f>
        <v>62922.59</v>
      </c>
      <c r="L200" s="74"/>
      <c r="M200" s="34">
        <f>Source!U94</f>
        <v>6.711687499999999</v>
      </c>
      <c r="O200" s="18">
        <f>H200</f>
        <v>51570.020000000004</v>
      </c>
      <c r="P200" s="18">
        <f>K200</f>
        <v>62922.59</v>
      </c>
      <c r="Q200" s="18">
        <f>M200</f>
        <v>6.711687499999999</v>
      </c>
      <c r="W200">
        <f>IF(Source!BI94&lt;=1,I190+I191+I193+I194+I195,0)</f>
        <v>3150.66</v>
      </c>
      <c r="X200">
        <f>IF(Source!BI94=2,I190+I191+I193+I194+I195,0)</f>
        <v>0</v>
      </c>
      <c r="Y200">
        <f>IF(Source!BI94=3,I190+I191+I193+I194+I195,0)</f>
        <v>0</v>
      </c>
      <c r="Z200">
        <f>IF(Source!BI94=4,I190+I191+I193+I194+I195,0)</f>
        <v>0</v>
      </c>
    </row>
    <row r="201" spans="1:22" ht="143.25">
      <c r="A201" s="40">
        <v>33</v>
      </c>
      <c r="B201" s="40" t="str">
        <f>Source!E98</f>
        <v>18</v>
      </c>
      <c r="C201" s="41" t="s">
        <v>766</v>
      </c>
      <c r="D201" s="41" t="str">
        <f>Source!G98</f>
        <v>Установка решеток жалюзийных площадью в свету до 0,5 м2</v>
      </c>
      <c r="E201" s="26" t="str">
        <f>Source!H98</f>
        <v>1 решетка</v>
      </c>
      <c r="F201" s="10">
        <f>Source!I98</f>
        <v>2</v>
      </c>
      <c r="G201" s="14">
        <f>Source!AL98+Source!AM98+Source!AO98</f>
        <v>31.880000000000003</v>
      </c>
      <c r="H201" s="12"/>
      <c r="I201" s="14"/>
      <c r="J201" s="12" t="str">
        <f>Source!BO98</f>
        <v>20-02-002-1</v>
      </c>
      <c r="K201" s="12"/>
      <c r="L201" s="14"/>
      <c r="M201" s="27"/>
      <c r="S201">
        <f>ROUND((Source!FX98/100)*((ROUND(Source!AF98*Source!I98,2)+ROUND(Source!AE98*Source!I98,2))),2)</f>
        <v>82.21</v>
      </c>
      <c r="T201">
        <f>Source!X98</f>
        <v>805.87</v>
      </c>
      <c r="U201">
        <f>ROUND((Source!FY98/100)*((ROUND(Source!AF98*Source!I98,2)+ROUND(Source!AE98*Source!I98,2))),2)</f>
        <v>50.34</v>
      </c>
      <c r="V201">
        <f>Source!Y98</f>
        <v>497.54</v>
      </c>
    </row>
    <row r="202" spans="1:18" ht="14.25">
      <c r="A202" s="40"/>
      <c r="B202" s="40"/>
      <c r="C202" s="41"/>
      <c r="D202" s="41" t="s">
        <v>737</v>
      </c>
      <c r="E202" s="26"/>
      <c r="F202" s="10"/>
      <c r="G202" s="14">
        <f>Source!AO98</f>
        <v>24.82</v>
      </c>
      <c r="H202" s="12" t="str">
        <f>Source!DG98</f>
        <v>)*1,15)*1,25</v>
      </c>
      <c r="I202" s="14">
        <f>ROUND(Source!AF98*Source!I98,2)</f>
        <v>71.36</v>
      </c>
      <c r="J202" s="12"/>
      <c r="K202" s="12">
        <f>IF(Source!BA98&lt;&gt;0,Source!BA98,1)</f>
        <v>9.82</v>
      </c>
      <c r="L202" s="14">
        <f>Source!S98</f>
        <v>700.76</v>
      </c>
      <c r="M202" s="27"/>
      <c r="R202">
        <f>I202</f>
        <v>71.36</v>
      </c>
    </row>
    <row r="203" spans="1:13" ht="14.25">
      <c r="A203" s="40"/>
      <c r="B203" s="40"/>
      <c r="C203" s="41"/>
      <c r="D203" s="41" t="s">
        <v>100</v>
      </c>
      <c r="E203" s="26"/>
      <c r="F203" s="10"/>
      <c r="G203" s="14">
        <f>Source!AM98</f>
        <v>2.73</v>
      </c>
      <c r="H203" s="12" t="str">
        <f>Source!DE98</f>
        <v>)*1,25)*1,25</v>
      </c>
      <c r="I203" s="14">
        <f>ROUND(Source!AD98*Source!I98,2)</f>
        <v>8.54</v>
      </c>
      <c r="J203" s="12"/>
      <c r="K203" s="12">
        <f>IF(Source!BB98&lt;&gt;0,Source!BB98,1)</f>
        <v>5.82</v>
      </c>
      <c r="L203" s="14">
        <f>Source!Q98</f>
        <v>49.7</v>
      </c>
      <c r="M203" s="27"/>
    </row>
    <row r="204" spans="1:13" ht="14.25">
      <c r="A204" s="40"/>
      <c r="B204" s="40"/>
      <c r="C204" s="41"/>
      <c r="D204" s="41" t="s">
        <v>749</v>
      </c>
      <c r="E204" s="26"/>
      <c r="F204" s="10"/>
      <c r="G204" s="14">
        <f>Source!AL98</f>
        <v>4.33</v>
      </c>
      <c r="H204" s="12">
        <f>Source!DD98</f>
      </c>
      <c r="I204" s="14">
        <f>ROUND(Source!AC98*Source!I98,2)</f>
        <v>8.66</v>
      </c>
      <c r="J204" s="12"/>
      <c r="K204" s="12">
        <f>IF(Source!BC98&lt;&gt;0,Source!BC98,1)</f>
        <v>6.98</v>
      </c>
      <c r="L204" s="14">
        <f>Source!P98</f>
        <v>60.45</v>
      </c>
      <c r="M204" s="27"/>
    </row>
    <row r="205" spans="1:13" ht="14.25">
      <c r="A205" s="40"/>
      <c r="B205" s="40"/>
      <c r="C205" s="41"/>
      <c r="D205" s="41" t="s">
        <v>738</v>
      </c>
      <c r="E205" s="26" t="s">
        <v>739</v>
      </c>
      <c r="F205" s="10">
        <f>Source!BZ98</f>
        <v>128</v>
      </c>
      <c r="G205" s="75" t="str">
        <f>CONCATENATE(" )",Source!DL98,Source!FT98,"=",Source!FX98)</f>
        <v> )*0,9=115,2</v>
      </c>
      <c r="H205" s="76"/>
      <c r="I205" s="14">
        <f>SUM(S201:S208)</f>
        <v>82.21</v>
      </c>
      <c r="J205" s="28"/>
      <c r="K205" s="24">
        <f>Source!AT98</f>
        <v>115</v>
      </c>
      <c r="L205" s="14">
        <f>SUM(T201:T208)</f>
        <v>805.87</v>
      </c>
      <c r="M205" s="27"/>
    </row>
    <row r="206" spans="1:13" ht="14.25">
      <c r="A206" s="40"/>
      <c r="B206" s="40"/>
      <c r="C206" s="41"/>
      <c r="D206" s="41" t="s">
        <v>740</v>
      </c>
      <c r="E206" s="26" t="s">
        <v>739</v>
      </c>
      <c r="F206" s="10">
        <f>Source!CA98</f>
        <v>83</v>
      </c>
      <c r="G206" s="75" t="str">
        <f>CONCATENATE(" )",Source!DM98,Source!FU98,"=",Source!FY98)</f>
        <v> )*0,85=70,55</v>
      </c>
      <c r="H206" s="76"/>
      <c r="I206" s="14">
        <f>SUM(U201:U208)</f>
        <v>50.34</v>
      </c>
      <c r="J206" s="28"/>
      <c r="K206" s="24">
        <f>Source!AU98</f>
        <v>71</v>
      </c>
      <c r="L206" s="14">
        <f>SUM(V201:V208)</f>
        <v>497.54</v>
      </c>
      <c r="M206" s="27"/>
    </row>
    <row r="207" spans="1:13" ht="14.25">
      <c r="A207" s="40"/>
      <c r="B207" s="40"/>
      <c r="C207" s="41"/>
      <c r="D207" s="41" t="s">
        <v>741</v>
      </c>
      <c r="E207" s="26" t="s">
        <v>742</v>
      </c>
      <c r="F207" s="10">
        <f>Source!AQ98</f>
        <v>1.46</v>
      </c>
      <c r="G207" s="14"/>
      <c r="H207" s="12" t="str">
        <f>Source!DI98</f>
        <v>)*1,15)*1,25</v>
      </c>
      <c r="I207" s="14"/>
      <c r="J207" s="12"/>
      <c r="K207" s="12"/>
      <c r="L207" s="14"/>
      <c r="M207" s="36">
        <f>Source!U98</f>
        <v>4.1975</v>
      </c>
    </row>
    <row r="208" spans="1:26" ht="68.25">
      <c r="A208" s="42">
        <v>34</v>
      </c>
      <c r="B208" s="42" t="str">
        <f>Source!E99</f>
        <v>18,1</v>
      </c>
      <c r="C208" s="43" t="str">
        <f>Source!F99</f>
        <v>прайс</v>
      </c>
      <c r="D208" s="43" t="s">
        <v>767</v>
      </c>
      <c r="E208" s="29" t="str">
        <f>Source!H99</f>
        <v>шт.</v>
      </c>
      <c r="F208" s="30">
        <f>Source!I99</f>
        <v>2</v>
      </c>
      <c r="G208" s="31">
        <f>Source!AL99+Source!AM99+Source!AO99</f>
        <v>133.23</v>
      </c>
      <c r="H208" s="37" t="s">
        <v>3</v>
      </c>
      <c r="I208" s="31">
        <f>ROUND(Source!AC99*Source!I99,2)+ROUND(Source!AD99*Source!I99,2)+ROUND(Source!AF99*Source!I99,2)</f>
        <v>266.46</v>
      </c>
      <c r="J208" s="32"/>
      <c r="K208" s="32">
        <f>IF(Source!BC99&lt;&gt;0,Source!BC99,1)</f>
        <v>6.38</v>
      </c>
      <c r="L208" s="31">
        <f>Source!O99</f>
        <v>1700.01</v>
      </c>
      <c r="M208" s="38"/>
      <c r="S208">
        <f>ROUND((Source!FX99/100)*((ROUND(Source!AF99*Source!I99,2)+ROUND(Source!AE99*Source!I99,2))),2)</f>
        <v>0</v>
      </c>
      <c r="T208">
        <f>Source!X99</f>
        <v>0</v>
      </c>
      <c r="U208">
        <f>ROUND((Source!FY99/100)*((ROUND(Source!AF99*Source!I99,2)+ROUND(Source!AE99*Source!I99,2))),2)</f>
        <v>0</v>
      </c>
      <c r="V208">
        <f>Source!Y99</f>
        <v>0</v>
      </c>
      <c r="W208">
        <f>IF(Source!BI99&lt;=1,I208,0)</f>
        <v>266.46</v>
      </c>
      <c r="X208">
        <f>IF(Source!BI99=2,I208,0)</f>
        <v>0</v>
      </c>
      <c r="Y208">
        <f>IF(Source!BI99=3,I208,0)</f>
        <v>0</v>
      </c>
      <c r="Z208">
        <f>IF(Source!BI99=4,I208,0)</f>
        <v>0</v>
      </c>
    </row>
    <row r="209" spans="8:26" ht="15">
      <c r="H209" s="74">
        <f>I202+I203+I204+I205+I206+SUM(I208:I208)</f>
        <v>487.56999999999994</v>
      </c>
      <c r="I209" s="74"/>
      <c r="K209" s="74">
        <f>L202+L203+L204+L205+L206+SUM(L208:L208)</f>
        <v>3814.33</v>
      </c>
      <c r="L209" s="74"/>
      <c r="M209" s="34">
        <f>Source!U98</f>
        <v>4.1975</v>
      </c>
      <c r="O209" s="18">
        <f>H209</f>
        <v>487.56999999999994</v>
      </c>
      <c r="P209" s="18">
        <f>K209</f>
        <v>3814.33</v>
      </c>
      <c r="Q209" s="18">
        <f>M209</f>
        <v>4.1975</v>
      </c>
      <c r="W209">
        <f>IF(Source!BI98&lt;=1,I202+I203+I204+I205+I206,0)</f>
        <v>221.10999999999999</v>
      </c>
      <c r="X209">
        <f>IF(Source!BI98=2,I202+I203+I204+I205+I206,0)</f>
        <v>0</v>
      </c>
      <c r="Y209">
        <f>IF(Source!BI98=3,I202+I203+I204+I205+I206,0)</f>
        <v>0</v>
      </c>
      <c r="Z209">
        <f>IF(Source!BI98=4,I202+I203+I204+I205+I206,0)</f>
        <v>0</v>
      </c>
    </row>
    <row r="211" spans="1:13" ht="15">
      <c r="A211" s="73" t="str">
        <f>CONCATENATE("Итого по подразделу: ",IF(Source!G101&lt;&gt;"Новый подраздел",Source!G101,""))</f>
        <v>Итого по подразделу: 2.1. Крыша и кровля</v>
      </c>
      <c r="B211" s="73"/>
      <c r="C211" s="73"/>
      <c r="D211" s="73"/>
      <c r="E211" s="73"/>
      <c r="F211" s="73"/>
      <c r="G211" s="73"/>
      <c r="H211" s="72">
        <f>SUM(O99:O210)</f>
        <v>562874.0499999999</v>
      </c>
      <c r="I211" s="72"/>
      <c r="J211" s="23"/>
      <c r="K211" s="72">
        <f>SUM(P99:P210)</f>
        <v>3169903.3800000004</v>
      </c>
      <c r="L211" s="72"/>
      <c r="M211" s="34">
        <f>SUM(Q99:Q210)</f>
        <v>2930.2270624999996</v>
      </c>
    </row>
    <row r="214" spans="1:13" ht="16.5">
      <c r="A214" s="71" t="str">
        <f>CONCATENATE("Подраздел: ",IF(Source!G132&lt;&gt;"Новый подраздел",Source!G132,""))</f>
        <v>Подраздел: 2.2.  Перекрытие</v>
      </c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</row>
    <row r="215" spans="1:22" ht="143.25">
      <c r="A215" s="40">
        <v>35</v>
      </c>
      <c r="B215" s="40" t="str">
        <f>Source!E136</f>
        <v>19</v>
      </c>
      <c r="C215" s="41" t="s">
        <v>768</v>
      </c>
      <c r="D215" s="41" t="str">
        <f>Source!G136</f>
        <v>Установка пароизоляционного слоя из пленки полиэтиленовой (ТехноНиколь)</v>
      </c>
      <c r="E215" s="26" t="str">
        <f>Source!H136</f>
        <v>100 м2 поверхности покрытия изоляции</v>
      </c>
      <c r="F215" s="10">
        <f>Source!I136</f>
        <v>6.2</v>
      </c>
      <c r="G215" s="14">
        <f>Source!AL136+Source!AM136+Source!AO136</f>
        <v>9151.57</v>
      </c>
      <c r="H215" s="12"/>
      <c r="I215" s="14"/>
      <c r="J215" s="12" t="str">
        <f>Source!BO136</f>
        <v>26-01-055-1</v>
      </c>
      <c r="K215" s="12"/>
      <c r="L215" s="14"/>
      <c r="M215" s="27"/>
      <c r="S215">
        <f>ROUND((Source!FX136/100)*((ROUND(Source!AF136*Source!I136,2)+ROUND(Source!AE136*Source!I136,2))),2)</f>
        <v>12751.64</v>
      </c>
      <c r="T215">
        <f>Source!X136</f>
        <v>125221.1</v>
      </c>
      <c r="U215">
        <f>ROUND((Source!FY136/100)*((ROUND(Source!AF136*Source!I136,2)+ROUND(Source!AE136*Source!I136,2))),2)</f>
        <v>8430.25</v>
      </c>
      <c r="V215">
        <f>Source!Y136</f>
        <v>83480.73</v>
      </c>
    </row>
    <row r="216" spans="1:18" ht="14.25">
      <c r="A216" s="40"/>
      <c r="B216" s="40"/>
      <c r="C216" s="41"/>
      <c r="D216" s="41" t="s">
        <v>737</v>
      </c>
      <c r="E216" s="26"/>
      <c r="F216" s="10"/>
      <c r="G216" s="14">
        <f>Source!AO136</f>
        <v>1589.73</v>
      </c>
      <c r="H216" s="12" t="str">
        <f>Source!DG136</f>
        <v>)*1,15)*1,25</v>
      </c>
      <c r="I216" s="14">
        <f>ROUND(Source!AF136*Source!I136,2)</f>
        <v>14168.49</v>
      </c>
      <c r="J216" s="12"/>
      <c r="K216" s="12">
        <f>IF(Source!BA136&lt;&gt;0,Source!BA136,1)</f>
        <v>9.82</v>
      </c>
      <c r="L216" s="14">
        <f>Source!S136</f>
        <v>139134.55</v>
      </c>
      <c r="M216" s="27"/>
      <c r="R216">
        <f>I216</f>
        <v>14168.49</v>
      </c>
    </row>
    <row r="217" spans="1:13" ht="14.25">
      <c r="A217" s="40"/>
      <c r="B217" s="40"/>
      <c r="C217" s="41"/>
      <c r="D217" s="41" t="s">
        <v>100</v>
      </c>
      <c r="E217" s="26"/>
      <c r="F217" s="10"/>
      <c r="G217" s="14">
        <f>Source!AM136</f>
        <v>29.99</v>
      </c>
      <c r="H217" s="12" t="str">
        <f>Source!DE136</f>
        <v>)*1,25)*1,25</v>
      </c>
      <c r="I217" s="14">
        <f>ROUND(Source!AD136*Source!I136,2)</f>
        <v>290.53</v>
      </c>
      <c r="J217" s="12"/>
      <c r="K217" s="12">
        <f>IF(Source!BB136&lt;&gt;0,Source!BB136,1)</f>
        <v>5.8</v>
      </c>
      <c r="L217" s="14">
        <f>Source!Q136</f>
        <v>1685.09</v>
      </c>
      <c r="M217" s="27"/>
    </row>
    <row r="218" spans="1:13" ht="14.25">
      <c r="A218" s="40"/>
      <c r="B218" s="40"/>
      <c r="C218" s="41"/>
      <c r="D218" s="41" t="s">
        <v>749</v>
      </c>
      <c r="E218" s="26"/>
      <c r="F218" s="10"/>
      <c r="G218" s="14">
        <f>Source!AL136</f>
        <v>7531.85</v>
      </c>
      <c r="H218" s="12">
        <f>Source!DD136</f>
      </c>
      <c r="I218" s="14">
        <f>ROUND(Source!AC136*Source!I136,2)</f>
        <v>46697.47</v>
      </c>
      <c r="J218" s="12"/>
      <c r="K218" s="12">
        <f>IF(Source!BC136&lt;&gt;0,Source!BC136,1)</f>
        <v>4.68</v>
      </c>
      <c r="L218" s="14">
        <f>Source!P136</f>
        <v>218544.16</v>
      </c>
      <c r="M218" s="27"/>
    </row>
    <row r="219" spans="1:13" ht="14.25">
      <c r="A219" s="40"/>
      <c r="B219" s="40"/>
      <c r="C219" s="41"/>
      <c r="D219" s="41" t="s">
        <v>738</v>
      </c>
      <c r="E219" s="26" t="s">
        <v>739</v>
      </c>
      <c r="F219" s="10">
        <f>Source!BZ136</f>
        <v>100</v>
      </c>
      <c r="G219" s="75" t="str">
        <f>CONCATENATE(" )",Source!DL136,Source!FT136,"=",Source!FX136)</f>
        <v> )*0,9=90</v>
      </c>
      <c r="H219" s="76"/>
      <c r="I219" s="14">
        <f>SUM(S215:S221)</f>
        <v>12751.64</v>
      </c>
      <c r="J219" s="28"/>
      <c r="K219" s="24">
        <f>Source!AT136</f>
        <v>90</v>
      </c>
      <c r="L219" s="14">
        <f>SUM(T215:T221)</f>
        <v>125221.1</v>
      </c>
      <c r="M219" s="27"/>
    </row>
    <row r="220" spans="1:13" ht="14.25">
      <c r="A220" s="40"/>
      <c r="B220" s="40"/>
      <c r="C220" s="41"/>
      <c r="D220" s="41" t="s">
        <v>740</v>
      </c>
      <c r="E220" s="26" t="s">
        <v>739</v>
      </c>
      <c r="F220" s="10">
        <f>Source!CA136</f>
        <v>70</v>
      </c>
      <c r="G220" s="75" t="str">
        <f>CONCATENATE(" )",Source!DM136,Source!FU136,"=",Source!FY136)</f>
        <v> )*0,85=59,5</v>
      </c>
      <c r="H220" s="76"/>
      <c r="I220" s="14">
        <f>SUM(U215:U221)</f>
        <v>8430.25</v>
      </c>
      <c r="J220" s="28"/>
      <c r="K220" s="24">
        <f>Source!AU136</f>
        <v>60</v>
      </c>
      <c r="L220" s="14">
        <f>SUM(V215:V221)</f>
        <v>83480.73</v>
      </c>
      <c r="M220" s="27"/>
    </row>
    <row r="221" spans="1:13" ht="14.25">
      <c r="A221" s="42"/>
      <c r="B221" s="42"/>
      <c r="C221" s="43"/>
      <c r="D221" s="43" t="s">
        <v>741</v>
      </c>
      <c r="E221" s="29" t="s">
        <v>742</v>
      </c>
      <c r="F221" s="30">
        <f>Source!AQ136</f>
        <v>95.94</v>
      </c>
      <c r="G221" s="31"/>
      <c r="H221" s="32" t="str">
        <f>Source!DI136</f>
        <v>)*1,15)*1,25</v>
      </c>
      <c r="I221" s="31"/>
      <c r="J221" s="32"/>
      <c r="K221" s="32"/>
      <c r="L221" s="31"/>
      <c r="M221" s="33">
        <f>Source!U136</f>
        <v>855.06525</v>
      </c>
    </row>
    <row r="222" spans="8:26" ht="15">
      <c r="H222" s="74">
        <f>I216+I217+I218+I219+I220</f>
        <v>82338.38</v>
      </c>
      <c r="I222" s="74"/>
      <c r="K222" s="74">
        <f>L216+L217+L218+L219+L220</f>
        <v>568065.63</v>
      </c>
      <c r="L222" s="74"/>
      <c r="M222" s="34">
        <f>Source!U136</f>
        <v>855.06525</v>
      </c>
      <c r="O222" s="18">
        <f>H222</f>
        <v>82338.38</v>
      </c>
      <c r="P222" s="18">
        <f>K222</f>
        <v>568065.63</v>
      </c>
      <c r="Q222" s="18">
        <f>M222</f>
        <v>855.06525</v>
      </c>
      <c r="W222">
        <f>IF(Source!BI136&lt;=1,I216+I217+I218+I219+I220,0)</f>
        <v>82338.38</v>
      </c>
      <c r="X222">
        <f>IF(Source!BI136=2,I216+I217+I218+I219+I220,0)</f>
        <v>0</v>
      </c>
      <c r="Y222">
        <f>IF(Source!BI136=3,I216+I217+I218+I219+I220,0)</f>
        <v>0</v>
      </c>
      <c r="Z222">
        <f>IF(Source!BI136=4,I216+I217+I218+I219+I220,0)</f>
        <v>0</v>
      </c>
    </row>
    <row r="223" spans="1:22" ht="143.25">
      <c r="A223" s="40">
        <v>36</v>
      </c>
      <c r="B223" s="40" t="str">
        <f>Source!E137</f>
        <v>20</v>
      </c>
      <c r="C223" s="41" t="s">
        <v>769</v>
      </c>
      <c r="D223" s="41" t="str">
        <f>Source!G137</f>
        <v>Установка элементов каркаса из брусьев</v>
      </c>
      <c r="E223" s="26" t="str">
        <f>Source!H137</f>
        <v>1 м3 древесины в конструкции</v>
      </c>
      <c r="F223" s="10">
        <f>Source!I137</f>
        <v>5</v>
      </c>
      <c r="G223" s="14">
        <f>Source!AL137+Source!AM137+Source!AO137</f>
        <v>2466.67</v>
      </c>
      <c r="H223" s="12"/>
      <c r="I223" s="14"/>
      <c r="J223" s="12" t="str">
        <f>Source!BO137</f>
        <v>10-01-010-1</v>
      </c>
      <c r="K223" s="12"/>
      <c r="L223" s="14"/>
      <c r="M223" s="27"/>
      <c r="S223">
        <f>ROUND((Source!FX137/100)*((ROUND(Source!AF137*Source!I137,2)+ROUND(Source!AE137*Source!I137,2))),2)</f>
        <v>2729.07</v>
      </c>
      <c r="T223">
        <f>Source!X137</f>
        <v>26749.05</v>
      </c>
      <c r="U223">
        <f>ROUND((Source!FY137/100)*((ROUND(Source!AF137*Source!I137,2)+ROUND(Source!AE137*Source!I137,2))),2)</f>
        <v>1376.1</v>
      </c>
      <c r="V223">
        <f>Source!Y137</f>
        <v>13626.87</v>
      </c>
    </row>
    <row r="224" spans="1:18" ht="14.25">
      <c r="A224" s="40"/>
      <c r="B224" s="40"/>
      <c r="C224" s="41"/>
      <c r="D224" s="41" t="s">
        <v>737</v>
      </c>
      <c r="E224" s="26"/>
      <c r="F224" s="10"/>
      <c r="G224" s="14">
        <f>Source!AO137</f>
        <v>357.53</v>
      </c>
      <c r="H224" s="12" t="str">
        <f>Source!DG137</f>
        <v>)*1,15)*1,25</v>
      </c>
      <c r="I224" s="14">
        <f>ROUND(Source!AF137*Source!I137,2)</f>
        <v>2569.75</v>
      </c>
      <c r="J224" s="12"/>
      <c r="K224" s="12">
        <f>IF(Source!BA137&lt;&gt;0,Source!BA137,1)</f>
        <v>9.82</v>
      </c>
      <c r="L224" s="14">
        <f>Source!S137</f>
        <v>25234.95</v>
      </c>
      <c r="M224" s="27"/>
      <c r="R224">
        <f>I224</f>
        <v>2569.75</v>
      </c>
    </row>
    <row r="225" spans="1:13" ht="14.25">
      <c r="A225" s="40"/>
      <c r="B225" s="40"/>
      <c r="C225" s="41"/>
      <c r="D225" s="41" t="s">
        <v>100</v>
      </c>
      <c r="E225" s="26"/>
      <c r="F225" s="10"/>
      <c r="G225" s="14">
        <f>Source!AM137</f>
        <v>45.35</v>
      </c>
      <c r="H225" s="12" t="str">
        <f>Source!DE137</f>
        <v>)*1,25)*1,25</v>
      </c>
      <c r="I225" s="14">
        <f>ROUND(Source!AD137*Source!I137,2)</f>
        <v>354.3</v>
      </c>
      <c r="J225" s="12"/>
      <c r="K225" s="12">
        <f>IF(Source!BB137&lt;&gt;0,Source!BB137,1)</f>
        <v>5.65</v>
      </c>
      <c r="L225" s="14">
        <f>Source!Q137</f>
        <v>2001.8</v>
      </c>
      <c r="M225" s="27"/>
    </row>
    <row r="226" spans="1:13" ht="14.25">
      <c r="A226" s="40"/>
      <c r="B226" s="40"/>
      <c r="C226" s="41"/>
      <c r="D226" s="41" t="s">
        <v>749</v>
      </c>
      <c r="E226" s="26"/>
      <c r="F226" s="10"/>
      <c r="G226" s="14">
        <f>Source!AL137</f>
        <v>2063.79</v>
      </c>
      <c r="H226" s="12">
        <f>Source!DD137</f>
      </c>
      <c r="I226" s="14">
        <f>ROUND(Source!AC137*Source!I137,2)</f>
        <v>10318.95</v>
      </c>
      <c r="J226" s="12"/>
      <c r="K226" s="12">
        <f>IF(Source!BC137&lt;&gt;0,Source!BC137,1)</f>
        <v>5.63</v>
      </c>
      <c r="L226" s="14">
        <f>Source!P137</f>
        <v>58095.69</v>
      </c>
      <c r="M226" s="27"/>
    </row>
    <row r="227" spans="1:13" ht="14.25">
      <c r="A227" s="40"/>
      <c r="B227" s="40"/>
      <c r="C227" s="41"/>
      <c r="D227" s="41" t="s">
        <v>738</v>
      </c>
      <c r="E227" s="26" t="s">
        <v>739</v>
      </c>
      <c r="F227" s="10">
        <f>Source!BZ137</f>
        <v>118</v>
      </c>
      <c r="G227" s="75" t="str">
        <f>CONCATENATE(" )",Source!DL137,Source!FT137,"=",Source!FX137)</f>
        <v> )*0,9=106,2</v>
      </c>
      <c r="H227" s="76"/>
      <c r="I227" s="14">
        <f>SUM(S223:S231)</f>
        <v>2729.07</v>
      </c>
      <c r="J227" s="28"/>
      <c r="K227" s="24">
        <f>Source!AT137</f>
        <v>106</v>
      </c>
      <c r="L227" s="14">
        <f>SUM(T223:T231)</f>
        <v>26749.05</v>
      </c>
      <c r="M227" s="27"/>
    </row>
    <row r="228" spans="1:13" ht="14.25">
      <c r="A228" s="40"/>
      <c r="B228" s="40"/>
      <c r="C228" s="41"/>
      <c r="D228" s="41" t="s">
        <v>740</v>
      </c>
      <c r="E228" s="26" t="s">
        <v>739</v>
      </c>
      <c r="F228" s="10">
        <f>Source!CA137</f>
        <v>63</v>
      </c>
      <c r="G228" s="75" t="str">
        <f>CONCATENATE(" )",Source!DM137,Source!FU137,"=",Source!FY137)</f>
        <v> )*0,85=53,55</v>
      </c>
      <c r="H228" s="76"/>
      <c r="I228" s="14">
        <f>SUM(U223:U231)</f>
        <v>1376.1</v>
      </c>
      <c r="J228" s="28"/>
      <c r="K228" s="24">
        <f>Source!AU137</f>
        <v>54</v>
      </c>
      <c r="L228" s="14">
        <f>SUM(V223:V231)</f>
        <v>13626.87</v>
      </c>
      <c r="M228" s="27"/>
    </row>
    <row r="229" spans="1:13" ht="14.25">
      <c r="A229" s="40"/>
      <c r="B229" s="40"/>
      <c r="C229" s="41"/>
      <c r="D229" s="41" t="s">
        <v>741</v>
      </c>
      <c r="E229" s="26" t="s">
        <v>742</v>
      </c>
      <c r="F229" s="10">
        <f>Source!AQ137</f>
        <v>22.5</v>
      </c>
      <c r="G229" s="14"/>
      <c r="H229" s="12" t="str">
        <f>Source!DI137</f>
        <v>)*1,15)*1,25</v>
      </c>
      <c r="I229" s="14"/>
      <c r="J229" s="12"/>
      <c r="K229" s="12"/>
      <c r="L229" s="14"/>
      <c r="M229" s="36">
        <f>Source!U137</f>
        <v>161.71874999999997</v>
      </c>
    </row>
    <row r="230" spans="1:26" ht="42.75">
      <c r="A230" s="40">
        <v>37</v>
      </c>
      <c r="B230" s="40" t="str">
        <f>Source!E138</f>
        <v>20,1</v>
      </c>
      <c r="C230" s="41" t="str">
        <f>Source!F138</f>
        <v>102-0028</v>
      </c>
      <c r="D230" s="41" t="str">
        <f>Source!G138</f>
        <v>Бруски обрезные хвойных пород длиной 4-6,5 м, шириной 75-150 мм, толщиной 100, 125 мм, II сорта</v>
      </c>
      <c r="E230" s="26" t="str">
        <f>Source!H138</f>
        <v>м3</v>
      </c>
      <c r="F230" s="10">
        <f>Source!I138</f>
        <v>-4.65</v>
      </c>
      <c r="G230" s="14">
        <f>Source!AL138+Source!AM138+Source!AO138</f>
        <v>1726.2</v>
      </c>
      <c r="H230" s="39" t="s">
        <v>3</v>
      </c>
      <c r="I230" s="14">
        <f>ROUND(Source!AC138*Source!I138,2)+ROUND(Source!AD138*Source!I138,2)+ROUND(Source!AF138*Source!I138,2)</f>
        <v>-8026.83</v>
      </c>
      <c r="J230" s="12"/>
      <c r="K230" s="12">
        <f>IF(Source!BC138&lt;&gt;0,Source!BC138,1)</f>
        <v>5.65</v>
      </c>
      <c r="L230" s="14">
        <f>Source!O138</f>
        <v>-45351.59</v>
      </c>
      <c r="M230" s="27"/>
      <c r="S230">
        <f>ROUND((Source!FX138/100)*((ROUND(Source!AF138*Source!I138,2)+ROUND(Source!AE138*Source!I138,2))),2)</f>
        <v>0</v>
      </c>
      <c r="T230">
        <f>Source!X138</f>
        <v>0</v>
      </c>
      <c r="U230">
        <f>ROUND((Source!FY138/100)*((ROUND(Source!AF138*Source!I138,2)+ROUND(Source!AE138*Source!I138,2))),2)</f>
        <v>0</v>
      </c>
      <c r="V230">
        <f>Source!Y138</f>
        <v>0</v>
      </c>
      <c r="W230">
        <f>IF(Source!BI138&lt;=1,I230,0)</f>
        <v>-8026.83</v>
      </c>
      <c r="X230">
        <f>IF(Source!BI138=2,I230,0)</f>
        <v>0</v>
      </c>
      <c r="Y230">
        <f>IF(Source!BI138=3,I230,0)</f>
        <v>0</v>
      </c>
      <c r="Z230">
        <f>IF(Source!BI138=4,I230,0)</f>
        <v>0</v>
      </c>
    </row>
    <row r="231" spans="1:26" ht="42.75">
      <c r="A231" s="42">
        <v>38</v>
      </c>
      <c r="B231" s="42" t="str">
        <f>Source!E139</f>
        <v>20,2</v>
      </c>
      <c r="C231" s="43" t="str">
        <f>Source!F139</f>
        <v>102-0023</v>
      </c>
      <c r="D231" s="43" t="str">
        <f>Source!G139</f>
        <v>Бруски обрезные хвойных пород длиной 4-6,5 м, шириной 75-150 мм, толщиной 40-75 мм, I сорта</v>
      </c>
      <c r="E231" s="29" t="str">
        <f>Source!H139</f>
        <v>м3</v>
      </c>
      <c r="F231" s="30">
        <f>Source!I139</f>
        <v>5</v>
      </c>
      <c r="G231" s="31">
        <f>Source!AL139+Source!AM139+Source!AO139</f>
        <v>2593.2</v>
      </c>
      <c r="H231" s="37" t="s">
        <v>3</v>
      </c>
      <c r="I231" s="31">
        <f>ROUND(Source!AC139*Source!I139,2)+ROUND(Source!AD139*Source!I139,2)+ROUND(Source!AF139*Source!I139,2)</f>
        <v>12966</v>
      </c>
      <c r="J231" s="32"/>
      <c r="K231" s="32">
        <f>IF(Source!BC139&lt;&gt;0,Source!BC139,1)</f>
        <v>4.76</v>
      </c>
      <c r="L231" s="31">
        <f>Source!O139</f>
        <v>61718.16</v>
      </c>
      <c r="M231" s="38"/>
      <c r="S231">
        <f>ROUND((Source!FX139/100)*((ROUND(Source!AF139*Source!I139,2)+ROUND(Source!AE139*Source!I139,2))),2)</f>
        <v>0</v>
      </c>
      <c r="T231">
        <f>Source!X139</f>
        <v>0</v>
      </c>
      <c r="U231">
        <f>ROUND((Source!FY139/100)*((ROUND(Source!AF139*Source!I139,2)+ROUND(Source!AE139*Source!I139,2))),2)</f>
        <v>0</v>
      </c>
      <c r="V231">
        <f>Source!Y139</f>
        <v>0</v>
      </c>
      <c r="W231">
        <f>IF(Source!BI139&lt;=1,I231,0)</f>
        <v>12966</v>
      </c>
      <c r="X231">
        <f>IF(Source!BI139=2,I231,0)</f>
        <v>0</v>
      </c>
      <c r="Y231">
        <f>IF(Source!BI139=3,I231,0)</f>
        <v>0</v>
      </c>
      <c r="Z231">
        <f>IF(Source!BI139=4,I231,0)</f>
        <v>0</v>
      </c>
    </row>
    <row r="232" spans="8:26" ht="15">
      <c r="H232" s="74">
        <f>I224+I225+I226+I227+I228+SUM(I230:I231)</f>
        <v>22287.339999999997</v>
      </c>
      <c r="I232" s="74"/>
      <c r="K232" s="74">
        <f>L224+L225+L226+L227+L228+SUM(L230:L231)</f>
        <v>142074.93</v>
      </c>
      <c r="L232" s="74"/>
      <c r="M232" s="34">
        <f>Source!U137</f>
        <v>161.71874999999997</v>
      </c>
      <c r="O232" s="18">
        <f>H232</f>
        <v>22287.339999999997</v>
      </c>
      <c r="P232" s="18">
        <f>K232</f>
        <v>142074.93</v>
      </c>
      <c r="Q232" s="18">
        <f>M232</f>
        <v>161.71874999999997</v>
      </c>
      <c r="W232">
        <f>IF(Source!BI137&lt;=1,I224+I225+I226+I227+I228,0)</f>
        <v>17348.17</v>
      </c>
      <c r="X232">
        <f>IF(Source!BI137=2,I224+I225+I226+I227+I228,0)</f>
        <v>0</v>
      </c>
      <c r="Y232">
        <f>IF(Source!BI137=3,I224+I225+I226+I227+I228,0)</f>
        <v>0</v>
      </c>
      <c r="Z232">
        <f>IF(Source!BI137=4,I224+I225+I226+I227+I228,0)</f>
        <v>0</v>
      </c>
    </row>
    <row r="233" spans="1:22" ht="143.25">
      <c r="A233" s="40">
        <v>39</v>
      </c>
      <c r="B233" s="40" t="str">
        <f>Source!E140</f>
        <v>21</v>
      </c>
      <c r="C233" s="41" t="s">
        <v>770</v>
      </c>
      <c r="D233" s="41" t="str">
        <f>Source!G140</f>
        <v>Устройство тепло- и звукоизоляции сплошной из плит или матов минераловатных или стекловолокнистых</v>
      </c>
      <c r="E233" s="26" t="str">
        <f>Source!H140</f>
        <v>100 м2 изолируемой поверхности</v>
      </c>
      <c r="F233" s="10">
        <f>Source!I140</f>
        <v>6.1</v>
      </c>
      <c r="G233" s="14">
        <f>Source!AL140+Source!AM140+Source!AO140</f>
        <v>2627.4700000000003</v>
      </c>
      <c r="H233" s="12"/>
      <c r="I233" s="14"/>
      <c r="J233" s="12" t="str">
        <f>Source!BO140</f>
        <v>11-01-009-1</v>
      </c>
      <c r="K233" s="12"/>
      <c r="L233" s="14"/>
      <c r="M233" s="27"/>
      <c r="S233">
        <f>ROUND((Source!FX140/100)*((ROUND(Source!AF140*Source!I140,2)+ROUND(Source!AE140*Source!I140,2))),2)</f>
        <v>4729.92</v>
      </c>
      <c r="T233">
        <f>Source!X140</f>
        <v>46573.77</v>
      </c>
      <c r="U233">
        <f>ROUND((Source!FY140/100)*((ROUND(Source!AF140*Source!I140,2)+ROUND(Source!AE140*Source!I140,2))),2)</f>
        <v>2723.87</v>
      </c>
      <c r="V233">
        <f>Source!Y140</f>
        <v>26853.34</v>
      </c>
    </row>
    <row r="234" spans="1:18" ht="14.25">
      <c r="A234" s="40"/>
      <c r="B234" s="40"/>
      <c r="C234" s="41"/>
      <c r="D234" s="41" t="s">
        <v>737</v>
      </c>
      <c r="E234" s="26"/>
      <c r="F234" s="10"/>
      <c r="G234" s="14">
        <f>Source!AO140</f>
        <v>482.46</v>
      </c>
      <c r="H234" s="12" t="str">
        <f>Source!DG140</f>
        <v>)*1,15)*1,25</v>
      </c>
      <c r="I234" s="14">
        <f>ROUND(Source!AF140*Source!I140,2)</f>
        <v>4230.59</v>
      </c>
      <c r="J234" s="12"/>
      <c r="K234" s="12">
        <f>IF(Source!BA140&lt;&gt;0,Source!BA140,1)</f>
        <v>9.82</v>
      </c>
      <c r="L234" s="14">
        <f>Source!S140</f>
        <v>41544.43</v>
      </c>
      <c r="M234" s="27"/>
      <c r="R234">
        <f>I234</f>
        <v>4230.59</v>
      </c>
    </row>
    <row r="235" spans="1:13" ht="14.25">
      <c r="A235" s="40"/>
      <c r="B235" s="40"/>
      <c r="C235" s="41"/>
      <c r="D235" s="41" t="s">
        <v>100</v>
      </c>
      <c r="E235" s="26"/>
      <c r="F235" s="10"/>
      <c r="G235" s="14">
        <f>Source!AM140</f>
        <v>125.06</v>
      </c>
      <c r="H235" s="12" t="str">
        <f>Source!DE140</f>
        <v>)*1,25)*1,25</v>
      </c>
      <c r="I235" s="14">
        <f>ROUND(Source!AD140*Source!I140,2)</f>
        <v>1192</v>
      </c>
      <c r="J235" s="12"/>
      <c r="K235" s="12">
        <f>IF(Source!BB140&lt;&gt;0,Source!BB140,1)</f>
        <v>5.87</v>
      </c>
      <c r="L235" s="14">
        <f>Source!Q140</f>
        <v>6997.05</v>
      </c>
      <c r="M235" s="27"/>
    </row>
    <row r="236" spans="1:18" ht="14.25">
      <c r="A236" s="40"/>
      <c r="B236" s="40"/>
      <c r="C236" s="41"/>
      <c r="D236" s="41" t="s">
        <v>744</v>
      </c>
      <c r="E236" s="26"/>
      <c r="F236" s="10"/>
      <c r="G236" s="14">
        <f>Source!AN140</f>
        <v>4.42</v>
      </c>
      <c r="H236" s="12" t="str">
        <f>Source!DF140</f>
        <v>)*1,25)*1,25</v>
      </c>
      <c r="I236" s="35">
        <f>ROUND(Source!AE140*Source!I140,2)</f>
        <v>42.15</v>
      </c>
      <c r="J236" s="12"/>
      <c r="K236" s="12">
        <f>IF(Source!BS140&lt;&gt;0,Source!BS140,1)</f>
        <v>9.82</v>
      </c>
      <c r="L236" s="35">
        <f>Source!R140</f>
        <v>413.92</v>
      </c>
      <c r="M236" s="27"/>
      <c r="R236">
        <f>I236</f>
        <v>42.15</v>
      </c>
    </row>
    <row r="237" spans="1:13" ht="14.25">
      <c r="A237" s="40"/>
      <c r="B237" s="40"/>
      <c r="C237" s="41"/>
      <c r="D237" s="41" t="s">
        <v>749</v>
      </c>
      <c r="E237" s="26"/>
      <c r="F237" s="10"/>
      <c r="G237" s="14">
        <f>Source!AL140</f>
        <v>2019.95</v>
      </c>
      <c r="H237" s="12">
        <f>Source!DD140</f>
      </c>
      <c r="I237" s="14">
        <f>ROUND(Source!AC140*Source!I140,2)</f>
        <v>12321.7</v>
      </c>
      <c r="J237" s="12"/>
      <c r="K237" s="12">
        <f>IF(Source!BC140&lt;&gt;0,Source!BC140,1)</f>
        <v>5.19</v>
      </c>
      <c r="L237" s="14">
        <f>Source!P140</f>
        <v>63949.6</v>
      </c>
      <c r="M237" s="27"/>
    </row>
    <row r="238" spans="1:13" ht="14.25">
      <c r="A238" s="40"/>
      <c r="B238" s="40"/>
      <c r="C238" s="41"/>
      <c r="D238" s="41" t="s">
        <v>738</v>
      </c>
      <c r="E238" s="26" t="s">
        <v>739</v>
      </c>
      <c r="F238" s="10">
        <f>Source!BZ140</f>
        <v>123</v>
      </c>
      <c r="G238" s="75" t="str">
        <f>CONCATENATE(" )",Source!DL140,Source!FT140,"=",Source!FX140)</f>
        <v> )*0,9=110,7</v>
      </c>
      <c r="H238" s="76"/>
      <c r="I238" s="14">
        <f>SUM(S233:S242)</f>
        <v>4729.92</v>
      </c>
      <c r="J238" s="28"/>
      <c r="K238" s="24">
        <f>Source!AT140</f>
        <v>111</v>
      </c>
      <c r="L238" s="14">
        <f>SUM(T233:T242)</f>
        <v>46573.77</v>
      </c>
      <c r="M238" s="27"/>
    </row>
    <row r="239" spans="1:13" ht="14.25">
      <c r="A239" s="40"/>
      <c r="B239" s="40"/>
      <c r="C239" s="41"/>
      <c r="D239" s="41" t="s">
        <v>740</v>
      </c>
      <c r="E239" s="26" t="s">
        <v>739</v>
      </c>
      <c r="F239" s="10">
        <f>Source!CA140</f>
        <v>75</v>
      </c>
      <c r="G239" s="75" t="str">
        <f>CONCATENATE(" )",Source!DM140,Source!FU140,"=",Source!FY140)</f>
        <v> )*0,85=63,75</v>
      </c>
      <c r="H239" s="76"/>
      <c r="I239" s="14">
        <f>SUM(U233:U242)</f>
        <v>2723.87</v>
      </c>
      <c r="J239" s="28"/>
      <c r="K239" s="24">
        <f>Source!AU140</f>
        <v>64</v>
      </c>
      <c r="L239" s="14">
        <f>SUM(V233:V242)</f>
        <v>26853.34</v>
      </c>
      <c r="M239" s="27"/>
    </row>
    <row r="240" spans="1:13" ht="14.25">
      <c r="A240" s="40"/>
      <c r="B240" s="40"/>
      <c r="C240" s="41"/>
      <c r="D240" s="41" t="s">
        <v>741</v>
      </c>
      <c r="E240" s="26" t="s">
        <v>742</v>
      </c>
      <c r="F240" s="10">
        <f>Source!AQ140</f>
        <v>28.38</v>
      </c>
      <c r="G240" s="14"/>
      <c r="H240" s="12" t="str">
        <f>Source!DI140</f>
        <v>)*1,15)*1,25</v>
      </c>
      <c r="I240" s="14"/>
      <c r="J240" s="12"/>
      <c r="K240" s="12"/>
      <c r="L240" s="14"/>
      <c r="M240" s="36">
        <f>Source!U140</f>
        <v>248.85712499999994</v>
      </c>
    </row>
    <row r="241" spans="1:26" ht="42.75">
      <c r="A241" s="40">
        <v>40</v>
      </c>
      <c r="B241" s="40" t="str">
        <f>Source!E141</f>
        <v>21,1</v>
      </c>
      <c r="C241" s="41" t="str">
        <f>Source!F141</f>
        <v>104-0013</v>
      </c>
      <c r="D241" s="41" t="str">
        <f>Source!G141</f>
        <v>Маты прошивные из минеральной ваты без обкладок М-125 (ГОСТ 21880-86), толщина 40 мм</v>
      </c>
      <c r="E241" s="26" t="str">
        <f>Source!H141</f>
        <v>м3</v>
      </c>
      <c r="F241" s="10">
        <f>Source!I141</f>
        <v>-25.131999999999998</v>
      </c>
      <c r="G241" s="14">
        <f>Source!AL141+Source!AM141+Source!AO141</f>
        <v>490.28</v>
      </c>
      <c r="H241" s="39" t="s">
        <v>3</v>
      </c>
      <c r="I241" s="14">
        <f>ROUND(Source!AC141*Source!I141,2)+ROUND(Source!AD141*Source!I141,2)+ROUND(Source!AF141*Source!I141,2)</f>
        <v>-12321.72</v>
      </c>
      <c r="J241" s="12"/>
      <c r="K241" s="12">
        <f>IF(Source!BC141&lt;&gt;0,Source!BC141,1)</f>
        <v>5.19</v>
      </c>
      <c r="L241" s="14">
        <f>Source!O141</f>
        <v>-63949.71</v>
      </c>
      <c r="M241" s="27"/>
      <c r="S241">
        <f>ROUND((Source!FX141/100)*((ROUND(Source!AF141*Source!I141,2)+ROUND(Source!AE141*Source!I141,2))),2)</f>
        <v>0</v>
      </c>
      <c r="T241">
        <f>Source!X141</f>
        <v>0</v>
      </c>
      <c r="U241">
        <f>ROUND((Source!FY141/100)*((ROUND(Source!AF141*Source!I141,2)+ROUND(Source!AE141*Source!I141,2))),2)</f>
        <v>0</v>
      </c>
      <c r="V241">
        <f>Source!Y141</f>
        <v>0</v>
      </c>
      <c r="W241">
        <f>IF(Source!BI141&lt;=1,I241,0)</f>
        <v>-12321.72</v>
      </c>
      <c r="X241">
        <f>IF(Source!BI141=2,I241,0)</f>
        <v>0</v>
      </c>
      <c r="Y241">
        <f>IF(Source!BI141=3,I241,0)</f>
        <v>0</v>
      </c>
      <c r="Z241">
        <f>IF(Source!BI141=4,I241,0)</f>
        <v>0</v>
      </c>
    </row>
    <row r="242" spans="1:26" ht="41.25">
      <c r="A242" s="42">
        <v>41</v>
      </c>
      <c r="B242" s="42" t="str">
        <f>Source!E142</f>
        <v>21,2</v>
      </c>
      <c r="C242" s="43" t="str">
        <f>Source!F142</f>
        <v>прайс</v>
      </c>
      <c r="D242" s="43" t="s">
        <v>771</v>
      </c>
      <c r="E242" s="29" t="str">
        <f>Source!H142</f>
        <v>м2</v>
      </c>
      <c r="F242" s="30">
        <f>Source!I142</f>
        <v>640.5</v>
      </c>
      <c r="G242" s="31">
        <f>Source!AL142+Source!AM142+Source!AO142</f>
        <v>183.33</v>
      </c>
      <c r="H242" s="37" t="s">
        <v>3</v>
      </c>
      <c r="I242" s="31">
        <f>ROUND(Source!AC142*Source!I142,2)+ROUND(Source!AD142*Source!I142,2)+ROUND(Source!AF142*Source!I142,2)</f>
        <v>117422.87</v>
      </c>
      <c r="J242" s="32"/>
      <c r="K242" s="32">
        <f>IF(Source!BC142&lt;&gt;0,Source!BC142,1)</f>
        <v>1</v>
      </c>
      <c r="L242" s="31">
        <f>Source!O142</f>
        <v>117422.87</v>
      </c>
      <c r="M242" s="38"/>
      <c r="S242">
        <f>ROUND((Source!FX142/100)*((ROUND(Source!AF142*Source!I142,2)+ROUND(Source!AE142*Source!I142,2))),2)</f>
        <v>0</v>
      </c>
      <c r="T242">
        <f>Source!X142</f>
        <v>0</v>
      </c>
      <c r="U242">
        <f>ROUND((Source!FY142/100)*((ROUND(Source!AF142*Source!I142,2)+ROUND(Source!AE142*Source!I142,2))),2)</f>
        <v>0</v>
      </c>
      <c r="V242">
        <f>Source!Y142</f>
        <v>0</v>
      </c>
      <c r="W242">
        <f>IF(Source!BI142&lt;=1,I242,0)</f>
        <v>0</v>
      </c>
      <c r="X242">
        <f>IF(Source!BI142=2,I242,0)</f>
        <v>0</v>
      </c>
      <c r="Y242">
        <f>IF(Source!BI142=3,I242,0)</f>
        <v>0</v>
      </c>
      <c r="Z242">
        <f>IF(Source!BI142=4,I242,0)</f>
        <v>117422.87</v>
      </c>
    </row>
    <row r="243" spans="8:26" ht="15">
      <c r="H243" s="74">
        <f>I234+I235+I237+I238+I239+SUM(I241:I242)</f>
        <v>130299.23</v>
      </c>
      <c r="I243" s="74"/>
      <c r="K243" s="74">
        <f>L234+L235+L237+L238+L239+SUM(L241:L242)</f>
        <v>239391.35</v>
      </c>
      <c r="L243" s="74"/>
      <c r="M243" s="34">
        <f>Source!U140</f>
        <v>248.85712499999994</v>
      </c>
      <c r="O243" s="18">
        <f>H243</f>
        <v>130299.23</v>
      </c>
      <c r="P243" s="18">
        <f>K243</f>
        <v>239391.35</v>
      </c>
      <c r="Q243" s="18">
        <f>M243</f>
        <v>248.85712499999994</v>
      </c>
      <c r="W243">
        <f>IF(Source!BI140&lt;=1,I234+I235+I237+I238+I239,0)</f>
        <v>25198.079999999998</v>
      </c>
      <c r="X243">
        <f>IF(Source!BI140=2,I234+I235+I237+I238+I239,0)</f>
        <v>0</v>
      </c>
      <c r="Y243">
        <f>IF(Source!BI140=3,I234+I235+I237+I238+I239,0)</f>
        <v>0</v>
      </c>
      <c r="Z243">
        <f>IF(Source!BI140=4,I234+I235+I237+I238+I239,0)</f>
        <v>0</v>
      </c>
    </row>
    <row r="244" spans="1:22" ht="143.25">
      <c r="A244" s="40">
        <v>42</v>
      </c>
      <c r="B244" s="40" t="str">
        <f>Source!E143</f>
        <v>22</v>
      </c>
      <c r="C244" s="41" t="s">
        <v>772</v>
      </c>
      <c r="D244" s="41" t="str">
        <f>Source!G143</f>
        <v>Устройство покрытий дощатых толщиной 25 мм</v>
      </c>
      <c r="E244" s="26" t="str">
        <f>Source!H143</f>
        <v>100 м2 покрытия</v>
      </c>
      <c r="F244" s="10">
        <f>Source!I143</f>
        <v>6.8</v>
      </c>
      <c r="G244" s="14">
        <f>Source!AL143+Source!AM143+Source!AO143</f>
        <v>6835.200000000001</v>
      </c>
      <c r="H244" s="12"/>
      <c r="I244" s="14"/>
      <c r="J244" s="12" t="str">
        <f>Source!BO143</f>
        <v>11-01-033-1</v>
      </c>
      <c r="K244" s="12"/>
      <c r="L244" s="14"/>
      <c r="M244" s="27"/>
      <c r="S244">
        <f>ROUND((Source!FX143/100)*((ROUND(Source!AF143*Source!I143,2)+ROUND(Source!AE143*Source!I143,2))),2)</f>
        <v>10791.79</v>
      </c>
      <c r="T244">
        <f>Source!X143</f>
        <v>106262.61</v>
      </c>
      <c r="U244">
        <f>ROUND((Source!FY143/100)*((ROUND(Source!AF143*Source!I143,2)+ROUND(Source!AE143*Source!I143,2))),2)</f>
        <v>6214.78</v>
      </c>
      <c r="V244">
        <f>Source!Y143</f>
        <v>61268.53</v>
      </c>
    </row>
    <row r="245" spans="1:18" ht="14.25">
      <c r="A245" s="40"/>
      <c r="B245" s="40"/>
      <c r="C245" s="41"/>
      <c r="D245" s="41" t="s">
        <v>737</v>
      </c>
      <c r="E245" s="26"/>
      <c r="F245" s="10"/>
      <c r="G245" s="14">
        <f>Source!AO143</f>
        <v>981.84</v>
      </c>
      <c r="H245" s="12" t="str">
        <f>Source!DG143</f>
        <v>)*1,15)*1,25</v>
      </c>
      <c r="I245" s="14">
        <f>ROUND(Source!AF143*Source!I143,2)</f>
        <v>9597.52</v>
      </c>
      <c r="J245" s="12"/>
      <c r="K245" s="12">
        <f>IF(Source!BA143&lt;&gt;0,Source!BA143,1)</f>
        <v>9.82</v>
      </c>
      <c r="L245" s="14">
        <f>Source!S143</f>
        <v>94247.65</v>
      </c>
      <c r="M245" s="27"/>
      <c r="R245">
        <f>I245</f>
        <v>9597.52</v>
      </c>
    </row>
    <row r="246" spans="1:13" ht="14.25">
      <c r="A246" s="40"/>
      <c r="B246" s="40"/>
      <c r="C246" s="41"/>
      <c r="D246" s="41" t="s">
        <v>100</v>
      </c>
      <c r="E246" s="26"/>
      <c r="F246" s="10"/>
      <c r="G246" s="14">
        <f>Source!AM143</f>
        <v>131.55</v>
      </c>
      <c r="H246" s="12" t="str">
        <f>Source!DE143</f>
        <v>)*1,25)*1,25</v>
      </c>
      <c r="I246" s="14">
        <f>ROUND(Source!AD143*Source!I143,2)</f>
        <v>1397.67</v>
      </c>
      <c r="J246" s="12"/>
      <c r="K246" s="12">
        <f>IF(Source!BB143&lt;&gt;0,Source!BB143,1)</f>
        <v>6.01</v>
      </c>
      <c r="L246" s="14">
        <f>Source!Q143</f>
        <v>8400.01</v>
      </c>
      <c r="M246" s="27"/>
    </row>
    <row r="247" spans="1:18" ht="14.25">
      <c r="A247" s="40"/>
      <c r="B247" s="40"/>
      <c r="C247" s="41"/>
      <c r="D247" s="41" t="s">
        <v>744</v>
      </c>
      <c r="E247" s="26"/>
      <c r="F247" s="10"/>
      <c r="G247" s="14">
        <f>Source!AN143</f>
        <v>14.23</v>
      </c>
      <c r="H247" s="12" t="str">
        <f>Source!DF143</f>
        <v>)*1,25)*1,25</v>
      </c>
      <c r="I247" s="35">
        <f>ROUND(Source!AE143*Source!I143,2)</f>
        <v>151.16</v>
      </c>
      <c r="J247" s="12"/>
      <c r="K247" s="12">
        <f>IF(Source!BS143&lt;&gt;0,Source!BS143,1)</f>
        <v>9.82</v>
      </c>
      <c r="L247" s="35">
        <f>Source!R143</f>
        <v>1484.43</v>
      </c>
      <c r="M247" s="27"/>
      <c r="R247">
        <f>I247</f>
        <v>151.16</v>
      </c>
    </row>
    <row r="248" spans="1:13" ht="14.25">
      <c r="A248" s="40"/>
      <c r="B248" s="40"/>
      <c r="C248" s="41"/>
      <c r="D248" s="41" t="s">
        <v>749</v>
      </c>
      <c r="E248" s="26"/>
      <c r="F248" s="10"/>
      <c r="G248" s="14">
        <f>Source!AL143</f>
        <v>5721.81</v>
      </c>
      <c r="H248" s="12">
        <f>Source!DD143</f>
      </c>
      <c r="I248" s="14">
        <f>ROUND(Source!AC143*Source!I143,2)</f>
        <v>38908.31</v>
      </c>
      <c r="J248" s="12"/>
      <c r="K248" s="12">
        <f>IF(Source!BC143&lt;&gt;0,Source!BC143,1)</f>
        <v>8.53</v>
      </c>
      <c r="L248" s="14">
        <f>Source!P143</f>
        <v>331887.87</v>
      </c>
      <c r="M248" s="27"/>
    </row>
    <row r="249" spans="1:13" ht="14.25">
      <c r="A249" s="40"/>
      <c r="B249" s="40"/>
      <c r="C249" s="41"/>
      <c r="D249" s="41" t="s">
        <v>738</v>
      </c>
      <c r="E249" s="26" t="s">
        <v>739</v>
      </c>
      <c r="F249" s="10">
        <f>Source!BZ143</f>
        <v>123</v>
      </c>
      <c r="G249" s="75" t="str">
        <f>CONCATENATE(" )",Source!DL143,Source!FT143,"=",Source!FX143)</f>
        <v> )*0,9=110,7</v>
      </c>
      <c r="H249" s="76"/>
      <c r="I249" s="14">
        <f>SUM(S244:S251)</f>
        <v>10791.79</v>
      </c>
      <c r="J249" s="28"/>
      <c r="K249" s="24">
        <f>Source!AT143</f>
        <v>111</v>
      </c>
      <c r="L249" s="14">
        <f>SUM(T244:T251)</f>
        <v>106262.61</v>
      </c>
      <c r="M249" s="27"/>
    </row>
    <row r="250" spans="1:13" ht="14.25">
      <c r="A250" s="40"/>
      <c r="B250" s="40"/>
      <c r="C250" s="41"/>
      <c r="D250" s="41" t="s">
        <v>740</v>
      </c>
      <c r="E250" s="26" t="s">
        <v>739</v>
      </c>
      <c r="F250" s="10">
        <f>Source!CA143</f>
        <v>75</v>
      </c>
      <c r="G250" s="75" t="str">
        <f>CONCATENATE(" )",Source!DM143,Source!FU143,"=",Source!FY143)</f>
        <v> )*0,85=63,75</v>
      </c>
      <c r="H250" s="76"/>
      <c r="I250" s="14">
        <f>SUM(U244:U251)</f>
        <v>6214.78</v>
      </c>
      <c r="J250" s="28"/>
      <c r="K250" s="24">
        <f>Source!AU143</f>
        <v>64</v>
      </c>
      <c r="L250" s="14">
        <f>SUM(V244:V251)</f>
        <v>61268.53</v>
      </c>
      <c r="M250" s="27"/>
    </row>
    <row r="251" spans="1:13" ht="14.25">
      <c r="A251" s="42"/>
      <c r="B251" s="42"/>
      <c r="C251" s="43"/>
      <c r="D251" s="43" t="s">
        <v>741</v>
      </c>
      <c r="E251" s="29" t="s">
        <v>742</v>
      </c>
      <c r="F251" s="30">
        <f>Source!AQ143</f>
        <v>60.72</v>
      </c>
      <c r="G251" s="31"/>
      <c r="H251" s="32" t="str">
        <f>Source!DI143</f>
        <v>)*1,15)*1,25</v>
      </c>
      <c r="I251" s="31"/>
      <c r="J251" s="32"/>
      <c r="K251" s="32"/>
      <c r="L251" s="31"/>
      <c r="M251" s="33">
        <f>Source!U143</f>
        <v>593.5379999999999</v>
      </c>
    </row>
    <row r="252" spans="8:26" ht="15">
      <c r="H252" s="74">
        <f>I245+I246+I248+I249+I250</f>
        <v>66910.07</v>
      </c>
      <c r="I252" s="74"/>
      <c r="K252" s="74">
        <f>L245+L246+L248+L249+L250</f>
        <v>602066.67</v>
      </c>
      <c r="L252" s="74"/>
      <c r="M252" s="34">
        <f>Source!U143</f>
        <v>593.5379999999999</v>
      </c>
      <c r="O252" s="18">
        <f>H252</f>
        <v>66910.07</v>
      </c>
      <c r="P252" s="18">
        <f>K252</f>
        <v>602066.67</v>
      </c>
      <c r="Q252" s="18">
        <f>M252</f>
        <v>593.5379999999999</v>
      </c>
      <c r="W252">
        <f>IF(Source!BI143&lt;=1,I245+I246+I248+I249+I250,0)</f>
        <v>66910.07</v>
      </c>
      <c r="X252">
        <f>IF(Source!BI143=2,I245+I246+I248+I249+I250,0)</f>
        <v>0</v>
      </c>
      <c r="Y252">
        <f>IF(Source!BI143=3,I245+I246+I248+I249+I250,0)</f>
        <v>0</v>
      </c>
      <c r="Z252">
        <f>IF(Source!BI143=4,I245+I246+I248+I249+I250,0)</f>
        <v>0</v>
      </c>
    </row>
    <row r="254" spans="1:13" ht="15">
      <c r="A254" s="73" t="str">
        <f>CONCATENATE("Итого по подразделу: ",IF(Source!G145&lt;&gt;"Новый подраздел",Source!G145,""))</f>
        <v>Итого по подразделу: 2.2.  Перекрытие</v>
      </c>
      <c r="B254" s="73"/>
      <c r="C254" s="73"/>
      <c r="D254" s="73"/>
      <c r="E254" s="73"/>
      <c r="F254" s="73"/>
      <c r="G254" s="73"/>
      <c r="H254" s="72">
        <f>SUM(O214:O253)</f>
        <v>301835.02</v>
      </c>
      <c r="I254" s="72"/>
      <c r="J254" s="23"/>
      <c r="K254" s="72">
        <f>SUM(P214:P253)</f>
        <v>1551598.58</v>
      </c>
      <c r="L254" s="72"/>
      <c r="M254" s="34">
        <f>SUM(Q214:Q253)</f>
        <v>1859.1791249999997</v>
      </c>
    </row>
    <row r="257" spans="1:13" ht="16.5">
      <c r="A257" s="71" t="str">
        <f>CONCATENATE("Подраздел: ",IF(Source!G174&lt;&gt;"Новый подраздел",Source!G174,""))</f>
        <v>Подраздел: 2.3. Устройство наружней водосточной системы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</row>
    <row r="258" spans="1:22" ht="143.25">
      <c r="A258" s="40">
        <v>43</v>
      </c>
      <c r="B258" s="40" t="str">
        <f>Source!E178</f>
        <v>23</v>
      </c>
      <c r="C258" s="41" t="s">
        <v>773</v>
      </c>
      <c r="D258" s="41" t="str">
        <f>Source!G178</f>
        <v>Устройство желобов подвесных  (труба водосточная, желоб)</v>
      </c>
      <c r="E258" s="26" t="str">
        <f>Source!H178</f>
        <v>100 М ЖЕЛОБОВ</v>
      </c>
      <c r="F258" s="10">
        <f>Source!I178</f>
        <v>0.63</v>
      </c>
      <c r="G258" s="14">
        <f>Source!AL178+Source!AM178+Source!AO178</f>
        <v>6678.24</v>
      </c>
      <c r="H258" s="12"/>
      <c r="I258" s="14"/>
      <c r="J258" s="12" t="str">
        <f>Source!BO178</f>
        <v>12-01-009-2</v>
      </c>
      <c r="K258" s="12"/>
      <c r="L258" s="14"/>
      <c r="M258" s="27"/>
      <c r="S258">
        <f>ROUND((Source!FX178/100)*((ROUND(Source!AF178*Source!I178,2)+ROUND(Source!AE178*Source!I178,2))),2)</f>
        <v>500.94</v>
      </c>
      <c r="T258">
        <f>Source!X178</f>
        <v>4919.21</v>
      </c>
      <c r="U258">
        <f>ROUND((Source!FY178/100)*((ROUND(Source!AF178*Source!I178,2)+ROUND(Source!AE178*Source!I178,2))),2)</f>
        <v>256.27</v>
      </c>
      <c r="V258">
        <f>Source!Y178</f>
        <v>2505.15</v>
      </c>
    </row>
    <row r="259" ht="12.75">
      <c r="D259" s="20" t="str">
        <f>"Объем: "&amp;Source!I178&amp;"=3*"&amp;"(17+"&amp;"4)/"&amp;"100"</f>
        <v>Объем: 0,63=3*(17+4)/100</v>
      </c>
    </row>
    <row r="260" spans="1:18" ht="14.25">
      <c r="A260" s="40"/>
      <c r="B260" s="40"/>
      <c r="C260" s="41"/>
      <c r="D260" s="41" t="s">
        <v>737</v>
      </c>
      <c r="E260" s="26"/>
      <c r="F260" s="10"/>
      <c r="G260" s="14">
        <f>Source!AO178</f>
        <v>507.9</v>
      </c>
      <c r="H260" s="12" t="str">
        <f>Source!DG178</f>
        <v>)*1,15)*1,25</v>
      </c>
      <c r="I260" s="14">
        <f>ROUND(Source!AF178*Source!I178,2)</f>
        <v>459.97</v>
      </c>
      <c r="J260" s="12"/>
      <c r="K260" s="12">
        <f>IF(Source!BA178&lt;&gt;0,Source!BA178,1)</f>
        <v>9.82</v>
      </c>
      <c r="L260" s="14">
        <f>Source!S178</f>
        <v>4516.9</v>
      </c>
      <c r="M260" s="27"/>
      <c r="R260">
        <f>I260</f>
        <v>459.97</v>
      </c>
    </row>
    <row r="261" spans="1:13" ht="14.25">
      <c r="A261" s="40"/>
      <c r="B261" s="40"/>
      <c r="C261" s="41"/>
      <c r="D261" s="41" t="s">
        <v>100</v>
      </c>
      <c r="E261" s="26"/>
      <c r="F261" s="10"/>
      <c r="G261" s="14">
        <f>Source!AM178</f>
        <v>27.96</v>
      </c>
      <c r="H261" s="12" t="str">
        <f>Source!DE178</f>
        <v>)*1,25)*1,25</v>
      </c>
      <c r="I261" s="14">
        <f>ROUND(Source!AD178*Source!I178,2)</f>
        <v>27.52</v>
      </c>
      <c r="J261" s="12"/>
      <c r="K261" s="12">
        <f>IF(Source!BB178&lt;&gt;0,Source!BB178,1)</f>
        <v>7.06</v>
      </c>
      <c r="L261" s="14">
        <f>Source!Q178</f>
        <v>194.32</v>
      </c>
      <c r="M261" s="27"/>
    </row>
    <row r="262" spans="1:18" ht="14.25">
      <c r="A262" s="40"/>
      <c r="B262" s="40"/>
      <c r="C262" s="41"/>
      <c r="D262" s="41" t="s">
        <v>744</v>
      </c>
      <c r="E262" s="26"/>
      <c r="F262" s="10"/>
      <c r="G262" s="14">
        <f>Source!AN178</f>
        <v>3.92</v>
      </c>
      <c r="H262" s="12" t="str">
        <f>Source!DF178</f>
        <v>)*1,25)*1,25</v>
      </c>
      <c r="I262" s="35">
        <f>ROUND(Source!AE178*Source!I178,2)</f>
        <v>3.86</v>
      </c>
      <c r="J262" s="12"/>
      <c r="K262" s="12">
        <f>IF(Source!BS178&lt;&gt;0,Source!BS178,1)</f>
        <v>9.82</v>
      </c>
      <c r="L262" s="35">
        <f>Source!R178</f>
        <v>37.92</v>
      </c>
      <c r="M262" s="27"/>
      <c r="R262">
        <f>I262</f>
        <v>3.86</v>
      </c>
    </row>
    <row r="263" spans="1:13" ht="14.25">
      <c r="A263" s="40"/>
      <c r="B263" s="40"/>
      <c r="C263" s="41"/>
      <c r="D263" s="41" t="s">
        <v>749</v>
      </c>
      <c r="E263" s="26"/>
      <c r="F263" s="10"/>
      <c r="G263" s="14">
        <f>Source!AL178</f>
        <v>6142.38</v>
      </c>
      <c r="H263" s="12">
        <f>Source!DD178</f>
      </c>
      <c r="I263" s="14">
        <f>ROUND(Source!AC178*Source!I178,2)</f>
        <v>3869.7</v>
      </c>
      <c r="J263" s="12"/>
      <c r="K263" s="12">
        <f>IF(Source!BC178&lt;&gt;0,Source!BC178,1)</f>
        <v>5.78</v>
      </c>
      <c r="L263" s="14">
        <f>Source!P178</f>
        <v>22366.86</v>
      </c>
      <c r="M263" s="27"/>
    </row>
    <row r="264" spans="1:13" ht="14.25">
      <c r="A264" s="40"/>
      <c r="B264" s="40"/>
      <c r="C264" s="41"/>
      <c r="D264" s="41" t="s">
        <v>738</v>
      </c>
      <c r="E264" s="26" t="s">
        <v>739</v>
      </c>
      <c r="F264" s="10">
        <f>Source!BZ178</f>
        <v>120</v>
      </c>
      <c r="G264" s="75" t="str">
        <f>CONCATENATE(" )",Source!DL178,Source!FT178,"=",Source!FX178)</f>
        <v> )*0,9=108</v>
      </c>
      <c r="H264" s="76"/>
      <c r="I264" s="14">
        <f>SUM(S258:S281)</f>
        <v>500.94</v>
      </c>
      <c r="J264" s="28"/>
      <c r="K264" s="24">
        <f>Source!AT178</f>
        <v>108</v>
      </c>
      <c r="L264" s="14">
        <f>SUM(T258:T281)</f>
        <v>4919.21</v>
      </c>
      <c r="M264" s="27"/>
    </row>
    <row r="265" spans="1:13" ht="14.25">
      <c r="A265" s="40"/>
      <c r="B265" s="40"/>
      <c r="C265" s="41"/>
      <c r="D265" s="41" t="s">
        <v>740</v>
      </c>
      <c r="E265" s="26" t="s">
        <v>739</v>
      </c>
      <c r="F265" s="10">
        <f>Source!CA178</f>
        <v>65</v>
      </c>
      <c r="G265" s="75" t="str">
        <f>CONCATENATE(" )",Source!DM178,Source!FU178,"=",Source!FY178)</f>
        <v> )*0,85=55,25</v>
      </c>
      <c r="H265" s="76"/>
      <c r="I265" s="14">
        <f>SUM(U258:U281)</f>
        <v>256.27</v>
      </c>
      <c r="J265" s="28"/>
      <c r="K265" s="24">
        <f>Source!AU178</f>
        <v>55</v>
      </c>
      <c r="L265" s="14">
        <f>SUM(V258:V281)</f>
        <v>2505.15</v>
      </c>
      <c r="M265" s="27"/>
    </row>
    <row r="266" spans="1:13" ht="14.25">
      <c r="A266" s="40"/>
      <c r="B266" s="40"/>
      <c r="C266" s="41"/>
      <c r="D266" s="41" t="s">
        <v>741</v>
      </c>
      <c r="E266" s="26" t="s">
        <v>742</v>
      </c>
      <c r="F266" s="10">
        <f>Source!AQ178</f>
        <v>31.41</v>
      </c>
      <c r="G266" s="14"/>
      <c r="H266" s="12" t="str">
        <f>Source!DI178</f>
        <v>)*1,15)*1,25</v>
      </c>
      <c r="I266" s="14"/>
      <c r="J266" s="12"/>
      <c r="K266" s="12"/>
      <c r="L266" s="14"/>
      <c r="M266" s="36">
        <f>Source!U178</f>
        <v>28.44568125</v>
      </c>
    </row>
    <row r="267" spans="1:26" ht="39.75">
      <c r="A267" s="40">
        <v>44</v>
      </c>
      <c r="B267" s="40" t="str">
        <f>Source!E179</f>
        <v>23,1</v>
      </c>
      <c r="C267" s="41" t="str">
        <f>Source!F179</f>
        <v>прайс</v>
      </c>
      <c r="D267" s="41" t="s">
        <v>774</v>
      </c>
      <c r="E267" s="26" t="str">
        <f>Source!H179</f>
        <v>шт.</v>
      </c>
      <c r="F267" s="10">
        <f>Source!I179</f>
        <v>4</v>
      </c>
      <c r="G267" s="14">
        <f>Source!AL179+Source!AM179+Source!AO179</f>
        <v>103.19</v>
      </c>
      <c r="H267" s="39" t="s">
        <v>3</v>
      </c>
      <c r="I267" s="14">
        <f>ROUND(Source!AC179*Source!I179,2)+ROUND(Source!AD179*Source!I179,2)+ROUND(Source!AF179*Source!I179,2)</f>
        <v>412.76</v>
      </c>
      <c r="J267" s="12"/>
      <c r="K267" s="12">
        <f>IF(Source!BC179&lt;&gt;0,Source!BC179,1)</f>
        <v>6.38</v>
      </c>
      <c r="L267" s="14">
        <f>Source!O179</f>
        <v>2633.41</v>
      </c>
      <c r="M267" s="27"/>
      <c r="S267">
        <f>ROUND((Source!FX179/100)*((ROUND(Source!AF179*Source!I179,2)+ROUND(Source!AE179*Source!I179,2))),2)</f>
        <v>0</v>
      </c>
      <c r="T267">
        <f>Source!X179</f>
        <v>0</v>
      </c>
      <c r="U267">
        <f>ROUND((Source!FY179/100)*((ROUND(Source!AF179*Source!I179,2)+ROUND(Source!AE179*Source!I179,2))),2)</f>
        <v>0</v>
      </c>
      <c r="V267">
        <f>Source!Y179</f>
        <v>0</v>
      </c>
      <c r="W267">
        <f>IF(Source!BI179&lt;=1,I267,0)</f>
        <v>412.76</v>
      </c>
      <c r="X267">
        <f>IF(Source!BI179=2,I267,0)</f>
        <v>0</v>
      </c>
      <c r="Y267">
        <f>IF(Source!BI179=3,I267,0)</f>
        <v>0</v>
      </c>
      <c r="Z267">
        <f>IF(Source!BI179=4,I267,0)</f>
        <v>0</v>
      </c>
    </row>
    <row r="268" spans="1:26" ht="39.75">
      <c r="A268" s="40">
        <v>45</v>
      </c>
      <c r="B268" s="40" t="str">
        <f>Source!E180</f>
        <v>23,2</v>
      </c>
      <c r="C268" s="41" t="str">
        <f>Source!F180</f>
        <v>прайс</v>
      </c>
      <c r="D268" s="41" t="s">
        <v>775</v>
      </c>
      <c r="E268" s="26" t="str">
        <f>Source!H180</f>
        <v>шт.</v>
      </c>
      <c r="F268" s="10">
        <f>Source!I180</f>
        <v>17</v>
      </c>
      <c r="G268" s="14">
        <f>Source!AL180+Source!AM180+Source!AO180</f>
        <v>87.51</v>
      </c>
      <c r="H268" s="39" t="s">
        <v>3</v>
      </c>
      <c r="I268" s="14">
        <f>ROUND(Source!AC180*Source!I180,2)+ROUND(Source!AD180*Source!I180,2)+ROUND(Source!AF180*Source!I180,2)</f>
        <v>1487.67</v>
      </c>
      <c r="J268" s="12"/>
      <c r="K268" s="12">
        <f>IF(Source!BC180&lt;&gt;0,Source!BC180,1)</f>
        <v>6.38</v>
      </c>
      <c r="L268" s="14">
        <f>Source!O180</f>
        <v>9491.33</v>
      </c>
      <c r="M268" s="27"/>
      <c r="S268">
        <f>ROUND((Source!FX180/100)*((ROUND(Source!AF180*Source!I180,2)+ROUND(Source!AE180*Source!I180,2))),2)</f>
        <v>0</v>
      </c>
      <c r="T268">
        <f>Source!X180</f>
        <v>0</v>
      </c>
      <c r="U268">
        <f>ROUND((Source!FY180/100)*((ROUND(Source!AF180*Source!I180,2)+ROUND(Source!AE180*Source!I180,2))),2)</f>
        <v>0</v>
      </c>
      <c r="V268">
        <f>Source!Y180</f>
        <v>0</v>
      </c>
      <c r="W268">
        <f>IF(Source!BI180&lt;=1,I268,0)</f>
        <v>1487.67</v>
      </c>
      <c r="X268">
        <f>IF(Source!BI180=2,I268,0)</f>
        <v>0</v>
      </c>
      <c r="Y268">
        <f>IF(Source!BI180=3,I268,0)</f>
        <v>0</v>
      </c>
      <c r="Z268">
        <f>IF(Source!BI180=4,I268,0)</f>
        <v>0</v>
      </c>
    </row>
    <row r="269" spans="1:26" ht="54">
      <c r="A269" s="40">
        <v>46</v>
      </c>
      <c r="B269" s="40" t="str">
        <f>Source!E181</f>
        <v>23,3</v>
      </c>
      <c r="C269" s="41" t="str">
        <f>Source!F181</f>
        <v>прайс</v>
      </c>
      <c r="D269" s="41" t="s">
        <v>776</v>
      </c>
      <c r="E269" s="26" t="str">
        <f>Source!H181</f>
        <v>шт.</v>
      </c>
      <c r="F269" s="10">
        <f>Source!I181</f>
        <v>4</v>
      </c>
      <c r="G269" s="14">
        <f>Source!AL181+Source!AM181+Source!AO181</f>
        <v>43.1</v>
      </c>
      <c r="H269" s="39" t="s">
        <v>3</v>
      </c>
      <c r="I269" s="14">
        <f>ROUND(Source!AC181*Source!I181,2)+ROUND(Source!AD181*Source!I181,2)+ROUND(Source!AF181*Source!I181,2)</f>
        <v>172.4</v>
      </c>
      <c r="J269" s="12"/>
      <c r="K269" s="12">
        <f>IF(Source!BC181&lt;&gt;0,Source!BC181,1)</f>
        <v>6.38</v>
      </c>
      <c r="L269" s="14">
        <f>Source!O181</f>
        <v>1099.91</v>
      </c>
      <c r="M269" s="27"/>
      <c r="S269">
        <f>ROUND((Source!FX181/100)*((ROUND(Source!AF181*Source!I181,2)+ROUND(Source!AE181*Source!I181,2))),2)</f>
        <v>0</v>
      </c>
      <c r="T269">
        <f>Source!X181</f>
        <v>0</v>
      </c>
      <c r="U269">
        <f>ROUND((Source!FY181/100)*((ROUND(Source!AF181*Source!I181,2)+ROUND(Source!AE181*Source!I181,2))),2)</f>
        <v>0</v>
      </c>
      <c r="V269">
        <f>Source!Y181</f>
        <v>0</v>
      </c>
      <c r="W269">
        <f>IF(Source!BI181&lt;=1,I269,0)</f>
        <v>172.4</v>
      </c>
      <c r="X269">
        <f>IF(Source!BI181=2,I269,0)</f>
        <v>0</v>
      </c>
      <c r="Y269">
        <f>IF(Source!BI181=3,I269,0)</f>
        <v>0</v>
      </c>
      <c r="Z269">
        <f>IF(Source!BI181=4,I269,0)</f>
        <v>0</v>
      </c>
    </row>
    <row r="270" spans="1:26" ht="54">
      <c r="A270" s="40">
        <v>47</v>
      </c>
      <c r="B270" s="40" t="str">
        <f>Source!E182</f>
        <v>23,4</v>
      </c>
      <c r="C270" s="41" t="str">
        <f>Source!F182</f>
        <v>прайс</v>
      </c>
      <c r="D270" s="41" t="s">
        <v>777</v>
      </c>
      <c r="E270" s="26" t="str">
        <f>Source!H182</f>
        <v>шт.</v>
      </c>
      <c r="F270" s="10">
        <f>Source!I182</f>
        <v>4</v>
      </c>
      <c r="G270" s="14">
        <f>Source!AL182+Source!AM182+Source!AO182</f>
        <v>43.1</v>
      </c>
      <c r="H270" s="39" t="s">
        <v>3</v>
      </c>
      <c r="I270" s="14">
        <f>ROUND(Source!AC182*Source!I182,2)+ROUND(Source!AD182*Source!I182,2)+ROUND(Source!AF182*Source!I182,2)</f>
        <v>172.4</v>
      </c>
      <c r="J270" s="12"/>
      <c r="K270" s="12">
        <f>IF(Source!BC182&lt;&gt;0,Source!BC182,1)</f>
        <v>6.38</v>
      </c>
      <c r="L270" s="14">
        <f>Source!O182</f>
        <v>1099.91</v>
      </c>
      <c r="M270" s="27"/>
      <c r="S270">
        <f>ROUND((Source!FX182/100)*((ROUND(Source!AF182*Source!I182,2)+ROUND(Source!AE182*Source!I182,2))),2)</f>
        <v>0</v>
      </c>
      <c r="T270">
        <f>Source!X182</f>
        <v>0</v>
      </c>
      <c r="U270">
        <f>ROUND((Source!FY182/100)*((ROUND(Source!AF182*Source!I182,2)+ROUND(Source!AE182*Source!I182,2))),2)</f>
        <v>0</v>
      </c>
      <c r="V270">
        <f>Source!Y182</f>
        <v>0</v>
      </c>
      <c r="W270">
        <f>IF(Source!BI182&lt;=1,I270,0)</f>
        <v>172.4</v>
      </c>
      <c r="X270">
        <f>IF(Source!BI182=2,I270,0)</f>
        <v>0</v>
      </c>
      <c r="Y270">
        <f>IF(Source!BI182=3,I270,0)</f>
        <v>0</v>
      </c>
      <c r="Z270">
        <f>IF(Source!BI182=4,I270,0)</f>
        <v>0</v>
      </c>
    </row>
    <row r="271" spans="1:26" ht="39.75">
      <c r="A271" s="40">
        <v>48</v>
      </c>
      <c r="B271" s="40" t="str">
        <f>Source!E183</f>
        <v>23,5</v>
      </c>
      <c r="C271" s="41" t="str">
        <f>Source!F183</f>
        <v>прайс</v>
      </c>
      <c r="D271" s="41" t="s">
        <v>778</v>
      </c>
      <c r="E271" s="26" t="str">
        <f>Source!H183</f>
        <v>шт.</v>
      </c>
      <c r="F271" s="10">
        <f>Source!I183</f>
        <v>5</v>
      </c>
      <c r="G271" s="14">
        <f>Source!AL183+Source!AM183+Source!AO183</f>
        <v>32.65</v>
      </c>
      <c r="H271" s="39" t="s">
        <v>3</v>
      </c>
      <c r="I271" s="14">
        <f>ROUND(Source!AC183*Source!I183,2)+ROUND(Source!AD183*Source!I183,2)+ROUND(Source!AF183*Source!I183,2)</f>
        <v>163.25</v>
      </c>
      <c r="J271" s="12"/>
      <c r="K271" s="12">
        <f>IF(Source!BC183&lt;&gt;0,Source!BC183,1)</f>
        <v>6.38</v>
      </c>
      <c r="L271" s="14">
        <f>Source!O183</f>
        <v>1041.54</v>
      </c>
      <c r="M271" s="27"/>
      <c r="S271">
        <f>ROUND((Source!FX183/100)*((ROUND(Source!AF183*Source!I183,2)+ROUND(Source!AE183*Source!I183,2))),2)</f>
        <v>0</v>
      </c>
      <c r="T271">
        <f>Source!X183</f>
        <v>0</v>
      </c>
      <c r="U271">
        <f>ROUND((Source!FY183/100)*((ROUND(Source!AF183*Source!I183,2)+ROUND(Source!AE183*Source!I183,2))),2)</f>
        <v>0</v>
      </c>
      <c r="V271">
        <f>Source!Y183</f>
        <v>0</v>
      </c>
      <c r="W271">
        <f>IF(Source!BI183&lt;=1,I271,0)</f>
        <v>163.25</v>
      </c>
      <c r="X271">
        <f>IF(Source!BI183=2,I271,0)</f>
        <v>0</v>
      </c>
      <c r="Y271">
        <f>IF(Source!BI183=3,I271,0)</f>
        <v>0</v>
      </c>
      <c r="Z271">
        <f>IF(Source!BI183=4,I271,0)</f>
        <v>0</v>
      </c>
    </row>
    <row r="272" spans="1:26" ht="39.75">
      <c r="A272" s="40">
        <v>49</v>
      </c>
      <c r="B272" s="40" t="str">
        <f>Source!E184</f>
        <v>23,6</v>
      </c>
      <c r="C272" s="41" t="str">
        <f>Source!F184</f>
        <v>прайс</v>
      </c>
      <c r="D272" s="41" t="s">
        <v>779</v>
      </c>
      <c r="E272" s="26" t="str">
        <f>Source!H184</f>
        <v>шт.</v>
      </c>
      <c r="F272" s="10">
        <f>Source!I184</f>
        <v>85</v>
      </c>
      <c r="G272" s="14">
        <f>Source!AL184+Source!AM184+Source!AO184</f>
        <v>14.37</v>
      </c>
      <c r="H272" s="39" t="s">
        <v>3</v>
      </c>
      <c r="I272" s="14">
        <f>ROUND(Source!AC184*Source!I184,2)+ROUND(Source!AD184*Source!I184,2)+ROUND(Source!AF184*Source!I184,2)</f>
        <v>1221.45</v>
      </c>
      <c r="J272" s="12"/>
      <c r="K272" s="12">
        <f>IF(Source!BC184&lt;&gt;0,Source!BC184,1)</f>
        <v>6.38</v>
      </c>
      <c r="L272" s="14">
        <f>Source!O184</f>
        <v>7792.85</v>
      </c>
      <c r="M272" s="27"/>
      <c r="S272">
        <f>ROUND((Source!FX184/100)*((ROUND(Source!AF184*Source!I184,2)+ROUND(Source!AE184*Source!I184,2))),2)</f>
        <v>0</v>
      </c>
      <c r="T272">
        <f>Source!X184</f>
        <v>0</v>
      </c>
      <c r="U272">
        <f>ROUND((Source!FY184/100)*((ROUND(Source!AF184*Source!I184,2)+ROUND(Source!AE184*Source!I184,2))),2)</f>
        <v>0</v>
      </c>
      <c r="V272">
        <f>Source!Y184</f>
        <v>0</v>
      </c>
      <c r="W272">
        <f>IF(Source!BI184&lt;=1,I272,0)</f>
        <v>1221.45</v>
      </c>
      <c r="X272">
        <f>IF(Source!BI184=2,I272,0)</f>
        <v>0</v>
      </c>
      <c r="Y272">
        <f>IF(Source!BI184=3,I272,0)</f>
        <v>0</v>
      </c>
      <c r="Z272">
        <f>IF(Source!BI184=4,I272,0)</f>
        <v>0</v>
      </c>
    </row>
    <row r="273" spans="1:26" ht="39.75">
      <c r="A273" s="40">
        <v>50</v>
      </c>
      <c r="B273" s="40" t="str">
        <f>Source!E185</f>
        <v>23,7</v>
      </c>
      <c r="C273" s="41" t="str">
        <f>Source!F185</f>
        <v>прайс</v>
      </c>
      <c r="D273" s="41" t="s">
        <v>780</v>
      </c>
      <c r="E273" s="26" t="str">
        <f>Source!H185</f>
        <v>шт.</v>
      </c>
      <c r="F273" s="10">
        <f>Source!I185</f>
        <v>12</v>
      </c>
      <c r="G273" s="14">
        <f>Source!AL185+Source!AM185+Source!AO185</f>
        <v>88.82</v>
      </c>
      <c r="H273" s="39" t="s">
        <v>3</v>
      </c>
      <c r="I273" s="14">
        <f>ROUND(Source!AC185*Source!I185,2)+ROUND(Source!AD185*Source!I185,2)+ROUND(Source!AF185*Source!I185,2)</f>
        <v>1065.84</v>
      </c>
      <c r="J273" s="12"/>
      <c r="K273" s="12">
        <f>IF(Source!BC185&lt;&gt;0,Source!BC185,1)</f>
        <v>6.38</v>
      </c>
      <c r="L273" s="14">
        <f>Source!O185</f>
        <v>6800.06</v>
      </c>
      <c r="M273" s="27"/>
      <c r="S273">
        <f>ROUND((Source!FX185/100)*((ROUND(Source!AF185*Source!I185,2)+ROUND(Source!AE185*Source!I185,2))),2)</f>
        <v>0</v>
      </c>
      <c r="T273">
        <f>Source!X185</f>
        <v>0</v>
      </c>
      <c r="U273">
        <f>ROUND((Source!FY185/100)*((ROUND(Source!AF185*Source!I185,2)+ROUND(Source!AE185*Source!I185,2))),2)</f>
        <v>0</v>
      </c>
      <c r="V273">
        <f>Source!Y185</f>
        <v>0</v>
      </c>
      <c r="W273">
        <f>IF(Source!BI185&lt;=1,I273,0)</f>
        <v>1065.84</v>
      </c>
      <c r="X273">
        <f>IF(Source!BI185=2,I273,0)</f>
        <v>0</v>
      </c>
      <c r="Y273">
        <f>IF(Source!BI185=3,I273,0)</f>
        <v>0</v>
      </c>
      <c r="Z273">
        <f>IF(Source!BI185=4,I273,0)</f>
        <v>0</v>
      </c>
    </row>
    <row r="274" spans="1:26" ht="39.75">
      <c r="A274" s="40">
        <v>51</v>
      </c>
      <c r="B274" s="40" t="str">
        <f>Source!E186</f>
        <v>23,8</v>
      </c>
      <c r="C274" s="41" t="str">
        <f>Source!F186</f>
        <v>прайс</v>
      </c>
      <c r="D274" s="41" t="s">
        <v>781</v>
      </c>
      <c r="E274" s="26" t="str">
        <f>Source!H186</f>
        <v>шт.</v>
      </c>
      <c r="F274" s="10">
        <f>Source!I186</f>
        <v>12</v>
      </c>
      <c r="G274" s="14">
        <f>Source!AL186+Source!AM186+Source!AO186</f>
        <v>14.37</v>
      </c>
      <c r="H274" s="39" t="s">
        <v>3</v>
      </c>
      <c r="I274" s="14">
        <f>ROUND(Source!AC186*Source!I186,2)+ROUND(Source!AD186*Source!I186,2)+ROUND(Source!AF186*Source!I186,2)</f>
        <v>172.44</v>
      </c>
      <c r="J274" s="12"/>
      <c r="K274" s="12">
        <f>IF(Source!BC186&lt;&gt;0,Source!BC186,1)</f>
        <v>6.38</v>
      </c>
      <c r="L274" s="14">
        <f>Source!O186</f>
        <v>1100.17</v>
      </c>
      <c r="M274" s="27"/>
      <c r="S274">
        <f>ROUND((Source!FX186/100)*((ROUND(Source!AF186*Source!I186,2)+ROUND(Source!AE186*Source!I186,2))),2)</f>
        <v>0</v>
      </c>
      <c r="T274">
        <f>Source!X186</f>
        <v>0</v>
      </c>
      <c r="U274">
        <f>ROUND((Source!FY186/100)*((ROUND(Source!AF186*Source!I186,2)+ROUND(Source!AE186*Source!I186,2))),2)</f>
        <v>0</v>
      </c>
      <c r="V274">
        <f>Source!Y186</f>
        <v>0</v>
      </c>
      <c r="W274">
        <f>IF(Source!BI186&lt;=1,I274,0)</f>
        <v>172.44</v>
      </c>
      <c r="X274">
        <f>IF(Source!BI186=2,I274,0)</f>
        <v>0</v>
      </c>
      <c r="Y274">
        <f>IF(Source!BI186=3,I274,0)</f>
        <v>0</v>
      </c>
      <c r="Z274">
        <f>IF(Source!BI186=4,I274,0)</f>
        <v>0</v>
      </c>
    </row>
    <row r="275" spans="1:26" ht="39.75">
      <c r="A275" s="40">
        <v>52</v>
      </c>
      <c r="B275" s="40" t="str">
        <f>Source!E187</f>
        <v>23,9</v>
      </c>
      <c r="C275" s="41" t="str">
        <f>Source!F187</f>
        <v>прайс</v>
      </c>
      <c r="D275" s="41" t="s">
        <v>782</v>
      </c>
      <c r="E275" s="26" t="str">
        <f>Source!H187</f>
        <v>шт.</v>
      </c>
      <c r="F275" s="10">
        <f>Source!I187</f>
        <v>6</v>
      </c>
      <c r="G275" s="14">
        <f>Source!AL187+Source!AM187+Source!AO187</f>
        <v>37.88</v>
      </c>
      <c r="H275" s="39" t="s">
        <v>3</v>
      </c>
      <c r="I275" s="14">
        <f>ROUND(Source!AC187*Source!I187,2)+ROUND(Source!AD187*Source!I187,2)+ROUND(Source!AF187*Source!I187,2)</f>
        <v>227.28</v>
      </c>
      <c r="J275" s="12"/>
      <c r="K275" s="12">
        <f>IF(Source!BC187&lt;&gt;0,Source!BC187,1)</f>
        <v>6.38</v>
      </c>
      <c r="L275" s="14">
        <f>Source!O187</f>
        <v>1450.05</v>
      </c>
      <c r="M275" s="27"/>
      <c r="S275">
        <f>ROUND((Source!FX187/100)*((ROUND(Source!AF187*Source!I187,2)+ROUND(Source!AE187*Source!I187,2))),2)</f>
        <v>0</v>
      </c>
      <c r="T275">
        <f>Source!X187</f>
        <v>0</v>
      </c>
      <c r="U275">
        <f>ROUND((Source!FY187/100)*((ROUND(Source!AF187*Source!I187,2)+ROUND(Source!AE187*Source!I187,2))),2)</f>
        <v>0</v>
      </c>
      <c r="V275">
        <f>Source!Y187</f>
        <v>0</v>
      </c>
      <c r="W275">
        <f>IF(Source!BI187&lt;=1,I275,0)</f>
        <v>227.28</v>
      </c>
      <c r="X275">
        <f>IF(Source!BI187=2,I275,0)</f>
        <v>0</v>
      </c>
      <c r="Y275">
        <f>IF(Source!BI187=3,I275,0)</f>
        <v>0</v>
      </c>
      <c r="Z275">
        <f>IF(Source!BI187=4,I275,0)</f>
        <v>0</v>
      </c>
    </row>
    <row r="276" spans="1:26" ht="39.75">
      <c r="A276" s="40">
        <v>53</v>
      </c>
      <c r="B276" s="40" t="str">
        <f>Source!E188</f>
        <v>23,10</v>
      </c>
      <c r="C276" s="41" t="str">
        <f>Source!F188</f>
        <v>прайс</v>
      </c>
      <c r="D276" s="41" t="s">
        <v>783</v>
      </c>
      <c r="E276" s="26" t="str">
        <f>Source!H188</f>
        <v>шт.</v>
      </c>
      <c r="F276" s="10">
        <f>Source!I188</f>
        <v>16</v>
      </c>
      <c r="G276" s="14">
        <f>Source!AL188+Source!AM188+Source!AO188</f>
        <v>20.9</v>
      </c>
      <c r="H276" s="39" t="s">
        <v>3</v>
      </c>
      <c r="I276" s="14">
        <f>ROUND(Source!AC188*Source!I188,2)+ROUND(Source!AD188*Source!I188,2)+ROUND(Source!AF188*Source!I188,2)</f>
        <v>334.4</v>
      </c>
      <c r="J276" s="12"/>
      <c r="K276" s="12">
        <f>IF(Source!BC188&lt;&gt;0,Source!BC188,1)</f>
        <v>6.38</v>
      </c>
      <c r="L276" s="14">
        <f>Source!O188</f>
        <v>2133.47</v>
      </c>
      <c r="M276" s="27"/>
      <c r="S276">
        <f>ROUND((Source!FX188/100)*((ROUND(Source!AF188*Source!I188,2)+ROUND(Source!AE188*Source!I188,2))),2)</f>
        <v>0</v>
      </c>
      <c r="T276">
        <f>Source!X188</f>
        <v>0</v>
      </c>
      <c r="U276">
        <f>ROUND((Source!FY188/100)*((ROUND(Source!AF188*Source!I188,2)+ROUND(Source!AE188*Source!I188,2))),2)</f>
        <v>0</v>
      </c>
      <c r="V276">
        <f>Source!Y188</f>
        <v>0</v>
      </c>
      <c r="W276">
        <f>IF(Source!BI188&lt;=1,I276,0)</f>
        <v>334.4</v>
      </c>
      <c r="X276">
        <f>IF(Source!BI188=2,I276,0)</f>
        <v>0</v>
      </c>
      <c r="Y276">
        <f>IF(Source!BI188=3,I276,0)</f>
        <v>0</v>
      </c>
      <c r="Z276">
        <f>IF(Source!BI188=4,I276,0)</f>
        <v>0</v>
      </c>
    </row>
    <row r="277" spans="1:26" ht="39.75">
      <c r="A277" s="40">
        <v>54</v>
      </c>
      <c r="B277" s="40" t="str">
        <f>Source!E189</f>
        <v>23,11</v>
      </c>
      <c r="C277" s="41" t="str">
        <f>Source!F189</f>
        <v>прайс</v>
      </c>
      <c r="D277" s="41" t="s">
        <v>784</v>
      </c>
      <c r="E277" s="26" t="str">
        <f>Source!H189</f>
        <v>шт.</v>
      </c>
      <c r="F277" s="10">
        <f>Source!I189</f>
        <v>16</v>
      </c>
      <c r="G277" s="14">
        <f>Source!AL189+Source!AM189+Source!AO189</f>
        <v>20.9</v>
      </c>
      <c r="H277" s="39" t="s">
        <v>3</v>
      </c>
      <c r="I277" s="14">
        <f>ROUND(Source!AC189*Source!I189,2)+ROUND(Source!AD189*Source!I189,2)+ROUND(Source!AF189*Source!I189,2)</f>
        <v>334.4</v>
      </c>
      <c r="J277" s="12"/>
      <c r="K277" s="12">
        <f>IF(Source!BC189&lt;&gt;0,Source!BC189,1)</f>
        <v>6.38</v>
      </c>
      <c r="L277" s="14">
        <f>Source!O189</f>
        <v>2133.47</v>
      </c>
      <c r="M277" s="27"/>
      <c r="S277">
        <f>ROUND((Source!FX189/100)*((ROUND(Source!AF189*Source!I189,2)+ROUND(Source!AE189*Source!I189,2))),2)</f>
        <v>0</v>
      </c>
      <c r="T277">
        <f>Source!X189</f>
        <v>0</v>
      </c>
      <c r="U277">
        <f>ROUND((Source!FY189/100)*((ROUND(Source!AF189*Source!I189,2)+ROUND(Source!AE189*Source!I189,2))),2)</f>
        <v>0</v>
      </c>
      <c r="V277">
        <f>Source!Y189</f>
        <v>0</v>
      </c>
      <c r="W277">
        <f>IF(Source!BI189&lt;=1,I277,0)</f>
        <v>334.4</v>
      </c>
      <c r="X277">
        <f>IF(Source!BI189=2,I277,0)</f>
        <v>0</v>
      </c>
      <c r="Y277">
        <f>IF(Source!BI189=3,I277,0)</f>
        <v>0</v>
      </c>
      <c r="Z277">
        <f>IF(Source!BI189=4,I277,0)</f>
        <v>0</v>
      </c>
    </row>
    <row r="278" spans="1:26" ht="39.75">
      <c r="A278" s="40">
        <v>55</v>
      </c>
      <c r="B278" s="40" t="str">
        <f>Source!E190</f>
        <v>23,12</v>
      </c>
      <c r="C278" s="41" t="str">
        <f>Source!F190</f>
        <v>прайс</v>
      </c>
      <c r="D278" s="41" t="s">
        <v>785</v>
      </c>
      <c r="E278" s="26" t="str">
        <f>Source!H190</f>
        <v>шт.</v>
      </c>
      <c r="F278" s="10">
        <f>Source!I190</f>
        <v>14</v>
      </c>
      <c r="G278" s="14">
        <f>Source!AL190+Source!AM190+Source!AO190</f>
        <v>14.37</v>
      </c>
      <c r="H278" s="39" t="s">
        <v>3</v>
      </c>
      <c r="I278" s="14">
        <f>ROUND(Source!AC190*Source!I190,2)+ROUND(Source!AD190*Source!I190,2)+ROUND(Source!AF190*Source!I190,2)</f>
        <v>201.18</v>
      </c>
      <c r="J278" s="12"/>
      <c r="K278" s="12">
        <f>IF(Source!BC190&lt;&gt;0,Source!BC190,1)</f>
        <v>6.38</v>
      </c>
      <c r="L278" s="14">
        <f>Source!O190</f>
        <v>1283.53</v>
      </c>
      <c r="M278" s="27"/>
      <c r="S278">
        <f>ROUND((Source!FX190/100)*((ROUND(Source!AF190*Source!I190,2)+ROUND(Source!AE190*Source!I190,2))),2)</f>
        <v>0</v>
      </c>
      <c r="T278">
        <f>Source!X190</f>
        <v>0</v>
      </c>
      <c r="U278">
        <f>ROUND((Source!FY190/100)*((ROUND(Source!AF190*Source!I190,2)+ROUND(Source!AE190*Source!I190,2))),2)</f>
        <v>0</v>
      </c>
      <c r="V278">
        <f>Source!Y190</f>
        <v>0</v>
      </c>
      <c r="W278">
        <f>IF(Source!BI190&lt;=1,I278,0)</f>
        <v>201.18</v>
      </c>
      <c r="X278">
        <f>IF(Source!BI190=2,I278,0)</f>
        <v>0</v>
      </c>
      <c r="Y278">
        <f>IF(Source!BI190=3,I278,0)</f>
        <v>0</v>
      </c>
      <c r="Z278">
        <f>IF(Source!BI190=4,I278,0)</f>
        <v>0</v>
      </c>
    </row>
    <row r="279" spans="1:26" ht="39.75">
      <c r="A279" s="40">
        <v>56</v>
      </c>
      <c r="B279" s="40" t="str">
        <f>Source!E191</f>
        <v>23,13</v>
      </c>
      <c r="C279" s="41" t="str">
        <f>Source!F191</f>
        <v>прайс</v>
      </c>
      <c r="D279" s="41" t="s">
        <v>786</v>
      </c>
      <c r="E279" s="26" t="str">
        <f>Source!H191</f>
        <v>шт.</v>
      </c>
      <c r="F279" s="10">
        <f>Source!I191</f>
        <v>27</v>
      </c>
      <c r="G279" s="14">
        <f>Source!AL191+Source!AM191+Source!AO191</f>
        <v>20.9</v>
      </c>
      <c r="H279" s="39" t="s">
        <v>3</v>
      </c>
      <c r="I279" s="14">
        <f>ROUND(Source!AC191*Source!I191,2)+ROUND(Source!AD191*Source!I191,2)+ROUND(Source!AF191*Source!I191,2)</f>
        <v>564.3</v>
      </c>
      <c r="J279" s="12"/>
      <c r="K279" s="12">
        <f>IF(Source!BC191&lt;&gt;0,Source!BC191,1)</f>
        <v>6.38</v>
      </c>
      <c r="L279" s="14">
        <f>Source!O191</f>
        <v>3600.23</v>
      </c>
      <c r="M279" s="27"/>
      <c r="S279">
        <f>ROUND((Source!FX191/100)*((ROUND(Source!AF191*Source!I191,2)+ROUND(Source!AE191*Source!I191,2))),2)</f>
        <v>0</v>
      </c>
      <c r="T279">
        <f>Source!X191</f>
        <v>0</v>
      </c>
      <c r="U279">
        <f>ROUND((Source!FY191/100)*((ROUND(Source!AF191*Source!I191,2)+ROUND(Source!AE191*Source!I191,2))),2)</f>
        <v>0</v>
      </c>
      <c r="V279">
        <f>Source!Y191</f>
        <v>0</v>
      </c>
      <c r="W279">
        <f>IF(Source!BI191&lt;=1,I279,0)</f>
        <v>564.3</v>
      </c>
      <c r="X279">
        <f>IF(Source!BI191=2,I279,0)</f>
        <v>0</v>
      </c>
      <c r="Y279">
        <f>IF(Source!BI191=3,I279,0)</f>
        <v>0</v>
      </c>
      <c r="Z279">
        <f>IF(Source!BI191=4,I279,0)</f>
        <v>0</v>
      </c>
    </row>
    <row r="280" spans="1:26" ht="39.75">
      <c r="A280" s="40">
        <v>57</v>
      </c>
      <c r="B280" s="40" t="str">
        <f>Source!E192</f>
        <v>23,14</v>
      </c>
      <c r="C280" s="41" t="str">
        <f>Source!F192</f>
        <v>прайс</v>
      </c>
      <c r="D280" s="41" t="s">
        <v>787</v>
      </c>
      <c r="E280" s="26" t="str">
        <f>Source!H192</f>
        <v>шт.</v>
      </c>
      <c r="F280" s="10">
        <f>Source!I192</f>
        <v>4</v>
      </c>
      <c r="G280" s="14">
        <f>Source!AL192+Source!AM192+Source!AO192</f>
        <v>39.18</v>
      </c>
      <c r="H280" s="39" t="s">
        <v>3</v>
      </c>
      <c r="I280" s="14">
        <f>ROUND(Source!AC192*Source!I192,2)+ROUND(Source!AD192*Source!I192,2)+ROUND(Source!AF192*Source!I192,2)</f>
        <v>156.72</v>
      </c>
      <c r="J280" s="12"/>
      <c r="K280" s="12">
        <f>IF(Source!BC192&lt;&gt;0,Source!BC192,1)</f>
        <v>6.38</v>
      </c>
      <c r="L280" s="14">
        <f>Source!O192</f>
        <v>999.87</v>
      </c>
      <c r="M280" s="27"/>
      <c r="S280">
        <f>ROUND((Source!FX192/100)*((ROUND(Source!AF192*Source!I192,2)+ROUND(Source!AE192*Source!I192,2))),2)</f>
        <v>0</v>
      </c>
      <c r="T280">
        <f>Source!X192</f>
        <v>0</v>
      </c>
      <c r="U280">
        <f>ROUND((Source!FY192/100)*((ROUND(Source!AF192*Source!I192,2)+ROUND(Source!AE192*Source!I192,2))),2)</f>
        <v>0</v>
      </c>
      <c r="V280">
        <f>Source!Y192</f>
        <v>0</v>
      </c>
      <c r="W280">
        <f>IF(Source!BI192&lt;=1,I280,0)</f>
        <v>156.72</v>
      </c>
      <c r="X280">
        <f>IF(Source!BI192=2,I280,0)</f>
        <v>0</v>
      </c>
      <c r="Y280">
        <f>IF(Source!BI192=3,I280,0)</f>
        <v>0</v>
      </c>
      <c r="Z280">
        <f>IF(Source!BI192=4,I280,0)</f>
        <v>0</v>
      </c>
    </row>
    <row r="281" spans="1:26" ht="28.5">
      <c r="A281" s="42">
        <v>58</v>
      </c>
      <c r="B281" s="42" t="str">
        <f>Source!E193</f>
        <v>23,15</v>
      </c>
      <c r="C281" s="43" t="str">
        <f>Source!F193</f>
        <v>101-1875</v>
      </c>
      <c r="D281" s="43" t="str">
        <f>Source!G193</f>
        <v>Сталь листовая оцинкованная толщиной листа 0,7 мм</v>
      </c>
      <c r="E281" s="29" t="str">
        <f>Source!H193</f>
        <v>т</v>
      </c>
      <c r="F281" s="30">
        <f>Source!I193</f>
        <v>-0.28476</v>
      </c>
      <c r="G281" s="31">
        <f>Source!AL193+Source!AM193+Source!AO193</f>
        <v>9696.76</v>
      </c>
      <c r="H281" s="37" t="s">
        <v>3</v>
      </c>
      <c r="I281" s="31">
        <f>ROUND(Source!AC193*Source!I193,2)+ROUND(Source!AD193*Source!I193,2)+ROUND(Source!AF193*Source!I193,2)</f>
        <v>-2761.25</v>
      </c>
      <c r="J281" s="32"/>
      <c r="K281" s="32">
        <f>IF(Source!BC193&lt;&gt;0,Source!BC193,1)</f>
        <v>5.58</v>
      </c>
      <c r="L281" s="31">
        <f>Source!O193</f>
        <v>-15407.77</v>
      </c>
      <c r="M281" s="38"/>
      <c r="S281">
        <f>ROUND((Source!FX193/100)*((ROUND(Source!AF193*Source!I193,2)+ROUND(Source!AE193*Source!I193,2))),2)</f>
        <v>0</v>
      </c>
      <c r="T281">
        <f>Source!X193</f>
        <v>0</v>
      </c>
      <c r="U281">
        <f>ROUND((Source!FY193/100)*((ROUND(Source!AF193*Source!I193,2)+ROUND(Source!AE193*Source!I193,2))),2)</f>
        <v>0</v>
      </c>
      <c r="V281">
        <f>Source!Y193</f>
        <v>0</v>
      </c>
      <c r="W281">
        <f>IF(Source!BI193&lt;=1,I281,0)</f>
        <v>-2761.25</v>
      </c>
      <c r="X281">
        <f>IF(Source!BI193=2,I281,0)</f>
        <v>0</v>
      </c>
      <c r="Y281">
        <f>IF(Source!BI193=3,I281,0)</f>
        <v>0</v>
      </c>
      <c r="Z281">
        <f>IF(Source!BI193=4,I281,0)</f>
        <v>0</v>
      </c>
    </row>
    <row r="282" spans="8:26" ht="15">
      <c r="H282" s="74">
        <f>I260+I261+I263+I264+I265+SUM(I267:I281)</f>
        <v>9039.64</v>
      </c>
      <c r="I282" s="74"/>
      <c r="K282" s="74">
        <f>L260+L261+L263+L264+L265+SUM(L267:L281)</f>
        <v>61754.47</v>
      </c>
      <c r="L282" s="74"/>
      <c r="M282" s="34">
        <f>Source!U178</f>
        <v>28.44568125</v>
      </c>
      <c r="O282" s="18">
        <f>H282</f>
        <v>9039.64</v>
      </c>
      <c r="P282" s="18">
        <f>K282</f>
        <v>61754.47</v>
      </c>
      <c r="Q282" s="18">
        <f>M282</f>
        <v>28.44568125</v>
      </c>
      <c r="W282">
        <f>IF(Source!BI178&lt;=1,I260+I261+I263+I264+I265,0)</f>
        <v>5114.4</v>
      </c>
      <c r="X282">
        <f>IF(Source!BI178=2,I260+I261+I263+I264+I265,0)</f>
        <v>0</v>
      </c>
      <c r="Y282">
        <f>IF(Source!BI178=3,I260+I261+I263+I264+I265,0)</f>
        <v>0</v>
      </c>
      <c r="Z282">
        <f>IF(Source!BI178=4,I260+I261+I263+I264+I265,0)</f>
        <v>0</v>
      </c>
    </row>
    <row r="283" spans="1:22" ht="143.25">
      <c r="A283" s="40">
        <v>59</v>
      </c>
      <c r="B283" s="40" t="str">
        <f>Source!E194</f>
        <v>24</v>
      </c>
      <c r="C283" s="41" t="s">
        <v>788</v>
      </c>
      <c r="D283" s="41" t="str">
        <f>Source!G194</f>
        <v>Установка воронок водосточных</v>
      </c>
      <c r="E283" s="26" t="str">
        <f>Source!H194</f>
        <v>1 воронка</v>
      </c>
      <c r="F283" s="10">
        <f>Source!I194</f>
        <v>6</v>
      </c>
      <c r="G283" s="14">
        <f>Source!AL194+Source!AM194+Source!AO194</f>
        <v>380.75000000000006</v>
      </c>
      <c r="H283" s="12"/>
      <c r="I283" s="14"/>
      <c r="J283" s="12" t="str">
        <f>Source!BO194</f>
        <v>16-07-002-1</v>
      </c>
      <c r="K283" s="12"/>
      <c r="L283" s="14"/>
      <c r="M283" s="27"/>
      <c r="S283">
        <f>ROUND((Source!FX194/100)*((ROUND(Source!AF194*Source!I194,2)+ROUND(Source!AE194*Source!I194,2))),2)</f>
        <v>543.42</v>
      </c>
      <c r="T283">
        <f>Source!X194</f>
        <v>5327.13</v>
      </c>
      <c r="U283">
        <f>ROUND((Source!FY194/100)*((ROUND(Source!AF194*Source!I194,2)+ROUND(Source!AE194*Source!I194,2))),2)</f>
        <v>332.8</v>
      </c>
      <c r="V283">
        <f>Source!Y194</f>
        <v>3288.93</v>
      </c>
    </row>
    <row r="284" spans="1:18" ht="14.25">
      <c r="A284" s="40"/>
      <c r="B284" s="40"/>
      <c r="C284" s="41"/>
      <c r="D284" s="41" t="s">
        <v>737</v>
      </c>
      <c r="E284" s="26"/>
      <c r="F284" s="10"/>
      <c r="G284" s="14">
        <f>Source!AO194</f>
        <v>54.42</v>
      </c>
      <c r="H284" s="12" t="str">
        <f>Source!DG194</f>
        <v>)*1,15)*1,25</v>
      </c>
      <c r="I284" s="14">
        <f>ROUND(Source!AF194*Source!I194,2)</f>
        <v>469.38</v>
      </c>
      <c r="J284" s="12"/>
      <c r="K284" s="12">
        <f>IF(Source!BA194&lt;&gt;0,Source!BA194,1)</f>
        <v>9.82</v>
      </c>
      <c r="L284" s="14">
        <f>Source!S194</f>
        <v>4609.31</v>
      </c>
      <c r="M284" s="27"/>
      <c r="R284">
        <f>I284</f>
        <v>469.38</v>
      </c>
    </row>
    <row r="285" spans="1:13" ht="14.25">
      <c r="A285" s="40"/>
      <c r="B285" s="40"/>
      <c r="C285" s="41"/>
      <c r="D285" s="41" t="s">
        <v>100</v>
      </c>
      <c r="E285" s="26"/>
      <c r="F285" s="10"/>
      <c r="G285" s="14">
        <f>Source!AM194</f>
        <v>15.48</v>
      </c>
      <c r="H285" s="12" t="str">
        <f>Source!DE194</f>
        <v>)*1,25)*1,25</v>
      </c>
      <c r="I285" s="14">
        <f>ROUND(Source!AD194*Source!I194,2)</f>
        <v>145.14</v>
      </c>
      <c r="J285" s="12"/>
      <c r="K285" s="12">
        <f>IF(Source!BB194&lt;&gt;0,Source!BB194,1)</f>
        <v>7.26</v>
      </c>
      <c r="L285" s="14">
        <f>Source!Q194</f>
        <v>1053.72</v>
      </c>
      <c r="M285" s="27"/>
    </row>
    <row r="286" spans="1:18" ht="14.25">
      <c r="A286" s="40"/>
      <c r="B286" s="40"/>
      <c r="C286" s="41"/>
      <c r="D286" s="41" t="s">
        <v>744</v>
      </c>
      <c r="E286" s="26"/>
      <c r="F286" s="10"/>
      <c r="G286" s="14">
        <f>Source!AN194</f>
        <v>0.25</v>
      </c>
      <c r="H286" s="12" t="str">
        <f>Source!DF194</f>
        <v>)*1,25)*1,25</v>
      </c>
      <c r="I286" s="35">
        <f>ROUND(Source!AE194*Source!I194,2)</f>
        <v>2.34</v>
      </c>
      <c r="J286" s="12"/>
      <c r="K286" s="12">
        <f>IF(Source!BS194&lt;&gt;0,Source!BS194,1)</f>
        <v>9.82</v>
      </c>
      <c r="L286" s="35">
        <f>Source!R194</f>
        <v>22.98</v>
      </c>
      <c r="M286" s="27"/>
      <c r="R286">
        <f>I286</f>
        <v>2.34</v>
      </c>
    </row>
    <row r="287" spans="1:13" ht="14.25">
      <c r="A287" s="40"/>
      <c r="B287" s="40"/>
      <c r="C287" s="41"/>
      <c r="D287" s="41" t="s">
        <v>749</v>
      </c>
      <c r="E287" s="26"/>
      <c r="F287" s="10"/>
      <c r="G287" s="14">
        <f>Source!AL194</f>
        <v>310.85</v>
      </c>
      <c r="H287" s="12">
        <f>Source!DD194</f>
      </c>
      <c r="I287" s="14">
        <f>ROUND(Source!AC194*Source!I194,2)</f>
        <v>1865.1</v>
      </c>
      <c r="J287" s="12"/>
      <c r="K287" s="12">
        <f>IF(Source!BC194&lt;&gt;0,Source!BC194,1)</f>
        <v>5.01</v>
      </c>
      <c r="L287" s="14">
        <f>Source!P194</f>
        <v>9344.15</v>
      </c>
      <c r="M287" s="27"/>
    </row>
    <row r="288" spans="1:13" ht="14.25">
      <c r="A288" s="40"/>
      <c r="B288" s="40"/>
      <c r="C288" s="41"/>
      <c r="D288" s="41" t="s">
        <v>738</v>
      </c>
      <c r="E288" s="26" t="s">
        <v>739</v>
      </c>
      <c r="F288" s="10">
        <f>Source!BZ194</f>
        <v>128</v>
      </c>
      <c r="G288" s="75" t="str">
        <f>CONCATENATE(" )",Source!DL194,Source!FT194,"=",Source!FX194)</f>
        <v> )*0,9=115,2</v>
      </c>
      <c r="H288" s="76"/>
      <c r="I288" s="14">
        <f>SUM(S283:S292)</f>
        <v>543.42</v>
      </c>
      <c r="J288" s="28"/>
      <c r="K288" s="24">
        <f>Source!AT194</f>
        <v>115</v>
      </c>
      <c r="L288" s="14">
        <f>SUM(T283:T292)</f>
        <v>5327.13</v>
      </c>
      <c r="M288" s="27"/>
    </row>
    <row r="289" spans="1:13" ht="14.25">
      <c r="A289" s="40"/>
      <c r="B289" s="40"/>
      <c r="C289" s="41"/>
      <c r="D289" s="41" t="s">
        <v>740</v>
      </c>
      <c r="E289" s="26" t="s">
        <v>739</v>
      </c>
      <c r="F289" s="10">
        <f>Source!CA194</f>
        <v>83</v>
      </c>
      <c r="G289" s="75" t="str">
        <f>CONCATENATE(" )",Source!DM194,Source!FU194,"=",Source!FY194)</f>
        <v> )*0,85=70,55</v>
      </c>
      <c r="H289" s="76"/>
      <c r="I289" s="14">
        <f>SUM(U283:U292)</f>
        <v>332.8</v>
      </c>
      <c r="J289" s="28"/>
      <c r="K289" s="24">
        <f>Source!AU194</f>
        <v>71</v>
      </c>
      <c r="L289" s="14">
        <f>SUM(V283:V292)</f>
        <v>3288.93</v>
      </c>
      <c r="M289" s="27"/>
    </row>
    <row r="290" spans="1:13" ht="14.25">
      <c r="A290" s="40"/>
      <c r="B290" s="40"/>
      <c r="C290" s="41"/>
      <c r="D290" s="41" t="s">
        <v>741</v>
      </c>
      <c r="E290" s="26" t="s">
        <v>742</v>
      </c>
      <c r="F290" s="10">
        <f>Source!AQ194</f>
        <v>2.94</v>
      </c>
      <c r="G290" s="14"/>
      <c r="H290" s="12" t="str">
        <f>Source!DI194</f>
        <v>)*1,15)*1,25</v>
      </c>
      <c r="I290" s="14"/>
      <c r="J290" s="12"/>
      <c r="K290" s="12"/>
      <c r="L290" s="14"/>
      <c r="M290" s="36">
        <f>Source!U194</f>
        <v>25.357499999999995</v>
      </c>
    </row>
    <row r="291" spans="1:26" ht="39.75">
      <c r="A291" s="40">
        <v>60</v>
      </c>
      <c r="B291" s="40" t="str">
        <f>Source!E195</f>
        <v>24,1</v>
      </c>
      <c r="C291" s="41" t="str">
        <f>Source!F195</f>
        <v>прайс</v>
      </c>
      <c r="D291" s="41" t="s">
        <v>789</v>
      </c>
      <c r="E291" s="26" t="str">
        <f>Source!H195</f>
        <v>шт.</v>
      </c>
      <c r="F291" s="10">
        <f>Source!I195</f>
        <v>6</v>
      </c>
      <c r="G291" s="14">
        <f>Source!AL195+Source!AM195+Source!AO195</f>
        <v>86.86</v>
      </c>
      <c r="H291" s="39" t="s">
        <v>3</v>
      </c>
      <c r="I291" s="14">
        <f>ROUND(Source!AC195*Source!I195,2)+ROUND(Source!AD195*Source!I195,2)+ROUND(Source!AF195*Source!I195,2)</f>
        <v>521.16</v>
      </c>
      <c r="J291" s="12"/>
      <c r="K291" s="12">
        <f>IF(Source!BC195&lt;&gt;0,Source!BC195,1)</f>
        <v>6.38</v>
      </c>
      <c r="L291" s="14">
        <f>Source!O195</f>
        <v>3325</v>
      </c>
      <c r="M291" s="27"/>
      <c r="S291">
        <f>ROUND((Source!FX195/100)*((ROUND(Source!AF195*Source!I195,2)+ROUND(Source!AE195*Source!I195,2))),2)</f>
        <v>0</v>
      </c>
      <c r="T291">
        <f>Source!X195</f>
        <v>0</v>
      </c>
      <c r="U291">
        <f>ROUND((Source!FY195/100)*((ROUND(Source!AF195*Source!I195,2)+ROUND(Source!AE195*Source!I195,2))),2)</f>
        <v>0</v>
      </c>
      <c r="V291">
        <f>Source!Y195</f>
        <v>0</v>
      </c>
      <c r="W291">
        <f>IF(Source!BI195&lt;=1,I291,0)</f>
        <v>521.16</v>
      </c>
      <c r="X291">
        <f>IF(Source!BI195=2,I291,0)</f>
        <v>0</v>
      </c>
      <c r="Y291">
        <f>IF(Source!BI195=3,I291,0)</f>
        <v>0</v>
      </c>
      <c r="Z291">
        <f>IF(Source!BI195=4,I291,0)</f>
        <v>0</v>
      </c>
    </row>
    <row r="292" spans="1:26" ht="28.5">
      <c r="A292" s="42">
        <v>61</v>
      </c>
      <c r="B292" s="42" t="str">
        <f>Source!E196</f>
        <v>24,2</v>
      </c>
      <c r="C292" s="43" t="str">
        <f>Source!F196</f>
        <v>301-3302</v>
      </c>
      <c r="D292" s="43" t="str">
        <f>Source!G196</f>
        <v>Воронка водосточная диаметром 100 мм</v>
      </c>
      <c r="E292" s="29" t="str">
        <f>Source!H196</f>
        <v>шт.</v>
      </c>
      <c r="F292" s="30">
        <f>Source!I196</f>
        <v>-6</v>
      </c>
      <c r="G292" s="31">
        <f>Source!AL196+Source!AM196+Source!AO196</f>
        <v>306.5</v>
      </c>
      <c r="H292" s="37" t="s">
        <v>3</v>
      </c>
      <c r="I292" s="31">
        <f>ROUND(Source!AC196*Source!I196,2)+ROUND(Source!AD196*Source!I196,2)+ROUND(Source!AF196*Source!I196,2)</f>
        <v>-1839</v>
      </c>
      <c r="J292" s="32"/>
      <c r="K292" s="32">
        <f>IF(Source!BC196&lt;&gt;0,Source!BC196,1)</f>
        <v>4.97</v>
      </c>
      <c r="L292" s="31">
        <f>Source!O196</f>
        <v>-9139.83</v>
      </c>
      <c r="M292" s="38"/>
      <c r="S292">
        <f>ROUND((Source!FX196/100)*((ROUND(Source!AF196*Source!I196,2)+ROUND(Source!AE196*Source!I196,2))),2)</f>
        <v>0</v>
      </c>
      <c r="T292">
        <f>Source!X196</f>
        <v>0</v>
      </c>
      <c r="U292">
        <f>ROUND((Source!FY196/100)*((ROUND(Source!AF196*Source!I196,2)+ROUND(Source!AE196*Source!I196,2))),2)</f>
        <v>0</v>
      </c>
      <c r="V292">
        <f>Source!Y196</f>
        <v>0</v>
      </c>
      <c r="W292">
        <f>IF(Source!BI196&lt;=1,I292,0)</f>
        <v>-1839</v>
      </c>
      <c r="X292">
        <f>IF(Source!BI196=2,I292,0)</f>
        <v>0</v>
      </c>
      <c r="Y292">
        <f>IF(Source!BI196=3,I292,0)</f>
        <v>0</v>
      </c>
      <c r="Z292">
        <f>IF(Source!BI196=4,I292,0)</f>
        <v>0</v>
      </c>
    </row>
    <row r="293" spans="8:26" ht="15">
      <c r="H293" s="74">
        <f>I284+I285+I287+I288+I289+SUM(I291:I292)</f>
        <v>2038</v>
      </c>
      <c r="I293" s="74"/>
      <c r="K293" s="74">
        <f>L284+L285+L287+L288+L289+SUM(L291:L292)</f>
        <v>17808.410000000003</v>
      </c>
      <c r="L293" s="74"/>
      <c r="M293" s="34">
        <f>Source!U194</f>
        <v>25.357499999999995</v>
      </c>
      <c r="O293" s="18">
        <f>H293</f>
        <v>2038</v>
      </c>
      <c r="P293" s="18">
        <f>K293</f>
        <v>17808.410000000003</v>
      </c>
      <c r="Q293" s="18">
        <f>M293</f>
        <v>25.357499999999995</v>
      </c>
      <c r="W293">
        <f>IF(Source!BI194&lt;=1,I284+I285+I287+I288+I289,0)</f>
        <v>3355.84</v>
      </c>
      <c r="X293">
        <f>IF(Source!BI194=2,I284+I285+I287+I288+I289,0)</f>
        <v>0</v>
      </c>
      <c r="Y293">
        <f>IF(Source!BI194=3,I284+I285+I287+I288+I289,0)</f>
        <v>0</v>
      </c>
      <c r="Z293">
        <f>IF(Source!BI194=4,I284+I285+I287+I288+I289,0)</f>
        <v>0</v>
      </c>
    </row>
    <row r="294" spans="1:22" ht="143.25">
      <c r="A294" s="40">
        <v>62</v>
      </c>
      <c r="B294" s="40" t="str">
        <f>Source!E197</f>
        <v>25</v>
      </c>
      <c r="C294" s="41" t="s">
        <v>790</v>
      </c>
      <c r="D294" s="41" t="str">
        <f>Source!G197</f>
        <v>Прокладка воздуховодов из листовой, оцинкованной стали и алюминия класса Н (нормальные) толщиной 0,7 мм, периметром от 1100 до 1600 мм</v>
      </c>
      <c r="E294" s="26" t="str">
        <f>Source!H197</f>
        <v>100 м2 поверхности воздуховодов</v>
      </c>
      <c r="F294" s="10">
        <f>Source!I197</f>
        <v>0.348</v>
      </c>
      <c r="G294" s="14">
        <f>Source!AL197+Source!AM197+Source!AO197</f>
        <v>2967.12</v>
      </c>
      <c r="H294" s="12"/>
      <c r="I294" s="14"/>
      <c r="J294" s="12" t="str">
        <f>Source!BO197</f>
        <v>20-01-001-10</v>
      </c>
      <c r="K294" s="12"/>
      <c r="L294" s="14"/>
      <c r="M294" s="27"/>
      <c r="S294">
        <f>ROUND((Source!FX197/100)*((ROUND(Source!AF197*Source!I197,2)+ROUND(Source!AE197*Source!I197,2))),2)</f>
        <v>1275.68</v>
      </c>
      <c r="T294">
        <f>Source!X197</f>
        <v>12505.39</v>
      </c>
      <c r="U294">
        <f>ROUND((Source!FY197/100)*((ROUND(Source!AF197*Source!I197,2)+ROUND(Source!AE197*Source!I197,2))),2)</f>
        <v>781.24</v>
      </c>
      <c r="V294">
        <f>Source!Y197</f>
        <v>7720.72</v>
      </c>
    </row>
    <row r="295" spans="1:18" ht="14.25">
      <c r="A295" s="40"/>
      <c r="B295" s="40"/>
      <c r="C295" s="41"/>
      <c r="D295" s="41" t="s">
        <v>737</v>
      </c>
      <c r="E295" s="26"/>
      <c r="F295" s="10"/>
      <c r="G295" s="14">
        <f>Source!AO197</f>
        <v>2203.48</v>
      </c>
      <c r="H295" s="12" t="str">
        <f>Source!DG197</f>
        <v>)*1,15)*1,25</v>
      </c>
      <c r="I295" s="14">
        <f>ROUND(Source!AF197*Source!I197,2)</f>
        <v>1102.29</v>
      </c>
      <c r="J295" s="12"/>
      <c r="K295" s="12">
        <f>IF(Source!BA197&lt;&gt;0,Source!BA197,1)</f>
        <v>9.82</v>
      </c>
      <c r="L295" s="14">
        <f>Source!S197</f>
        <v>10824.49</v>
      </c>
      <c r="M295" s="27"/>
      <c r="R295">
        <f>I295</f>
        <v>1102.29</v>
      </c>
    </row>
    <row r="296" spans="1:13" ht="14.25">
      <c r="A296" s="40"/>
      <c r="B296" s="40"/>
      <c r="C296" s="41"/>
      <c r="D296" s="41" t="s">
        <v>100</v>
      </c>
      <c r="E296" s="26"/>
      <c r="F296" s="10"/>
      <c r="G296" s="14">
        <f>Source!AM197</f>
        <v>131.55</v>
      </c>
      <c r="H296" s="12" t="str">
        <f>Source!DE197</f>
        <v>)*1,25)*1,25</v>
      </c>
      <c r="I296" s="14">
        <f>ROUND(Source!AD197*Source!I197,2)</f>
        <v>71.53</v>
      </c>
      <c r="J296" s="12"/>
      <c r="K296" s="12">
        <f>IF(Source!BB197&lt;&gt;0,Source!BB197,1)</f>
        <v>6.5</v>
      </c>
      <c r="L296" s="14">
        <f>Source!Q197</f>
        <v>464.93</v>
      </c>
      <c r="M296" s="27"/>
    </row>
    <row r="297" spans="1:18" ht="14.25">
      <c r="A297" s="40"/>
      <c r="B297" s="40"/>
      <c r="C297" s="41"/>
      <c r="D297" s="41" t="s">
        <v>744</v>
      </c>
      <c r="E297" s="26"/>
      <c r="F297" s="10"/>
      <c r="G297" s="14">
        <f>Source!AN197</f>
        <v>9.32</v>
      </c>
      <c r="H297" s="12" t="str">
        <f>Source!DF197</f>
        <v>)*1,25)*1,25</v>
      </c>
      <c r="I297" s="35">
        <f>ROUND(Source!AE197*Source!I197,2)</f>
        <v>5.07</v>
      </c>
      <c r="J297" s="12"/>
      <c r="K297" s="12">
        <f>IF(Source!BS197&lt;&gt;0,Source!BS197,1)</f>
        <v>9.82</v>
      </c>
      <c r="L297" s="35">
        <f>Source!R197</f>
        <v>49.76</v>
      </c>
      <c r="M297" s="27"/>
      <c r="R297">
        <f>I297</f>
        <v>5.07</v>
      </c>
    </row>
    <row r="298" spans="1:13" ht="14.25">
      <c r="A298" s="40"/>
      <c r="B298" s="40"/>
      <c r="C298" s="41"/>
      <c r="D298" s="41" t="s">
        <v>749</v>
      </c>
      <c r="E298" s="26"/>
      <c r="F298" s="10"/>
      <c r="G298" s="14">
        <f>Source!AL197</f>
        <v>632.09</v>
      </c>
      <c r="H298" s="12">
        <f>Source!DD197</f>
      </c>
      <c r="I298" s="14">
        <f>ROUND(Source!AC197*Source!I197,2)</f>
        <v>219.97</v>
      </c>
      <c r="J298" s="12"/>
      <c r="K298" s="12">
        <f>IF(Source!BC197&lt;&gt;0,Source!BC197,1)</f>
        <v>5.43</v>
      </c>
      <c r="L298" s="14">
        <f>Source!P197</f>
        <v>1194.42</v>
      </c>
      <c r="M298" s="27"/>
    </row>
    <row r="299" spans="1:13" ht="14.25">
      <c r="A299" s="40"/>
      <c r="B299" s="40"/>
      <c r="C299" s="41"/>
      <c r="D299" s="41" t="s">
        <v>738</v>
      </c>
      <c r="E299" s="26" t="s">
        <v>739</v>
      </c>
      <c r="F299" s="10">
        <f>Source!BZ197</f>
        <v>128</v>
      </c>
      <c r="G299" s="75" t="str">
        <f>CONCATENATE(" )",Source!DL197,Source!FT197,"=",Source!FX197)</f>
        <v> )*0,9=115,2</v>
      </c>
      <c r="H299" s="76"/>
      <c r="I299" s="14">
        <f>SUM(S294:S302)</f>
        <v>1275.68</v>
      </c>
      <c r="J299" s="28"/>
      <c r="K299" s="24">
        <f>Source!AT197</f>
        <v>115</v>
      </c>
      <c r="L299" s="14">
        <f>SUM(T294:T302)</f>
        <v>12505.39</v>
      </c>
      <c r="M299" s="27"/>
    </row>
    <row r="300" spans="1:13" ht="14.25">
      <c r="A300" s="40"/>
      <c r="B300" s="40"/>
      <c r="C300" s="41"/>
      <c r="D300" s="41" t="s">
        <v>740</v>
      </c>
      <c r="E300" s="26" t="s">
        <v>739</v>
      </c>
      <c r="F300" s="10">
        <f>Source!CA197</f>
        <v>83</v>
      </c>
      <c r="G300" s="75" t="str">
        <f>CONCATENATE(" )",Source!DM197,Source!FU197,"=",Source!FY197)</f>
        <v> )*0,85=70,55</v>
      </c>
      <c r="H300" s="76"/>
      <c r="I300" s="14">
        <f>SUM(U294:U302)</f>
        <v>781.24</v>
      </c>
      <c r="J300" s="28"/>
      <c r="K300" s="24">
        <f>Source!AU197</f>
        <v>71</v>
      </c>
      <c r="L300" s="14">
        <f>SUM(V294:V302)</f>
        <v>7720.72</v>
      </c>
      <c r="M300" s="27"/>
    </row>
    <row r="301" spans="1:13" ht="14.25">
      <c r="A301" s="40"/>
      <c r="B301" s="40"/>
      <c r="C301" s="41"/>
      <c r="D301" s="41" t="s">
        <v>741</v>
      </c>
      <c r="E301" s="26" t="s">
        <v>742</v>
      </c>
      <c r="F301" s="10">
        <f>Source!AQ197</f>
        <v>132.98</v>
      </c>
      <c r="G301" s="14"/>
      <c r="H301" s="12" t="str">
        <f>Source!DI197</f>
        <v>)*1,15)*1,25</v>
      </c>
      <c r="I301" s="14"/>
      <c r="J301" s="12"/>
      <c r="K301" s="12"/>
      <c r="L301" s="14"/>
      <c r="M301" s="36">
        <f>Source!U197</f>
        <v>66.52324499999997</v>
      </c>
    </row>
    <row r="302" spans="1:26" ht="42.75">
      <c r="A302" s="42">
        <v>63</v>
      </c>
      <c r="B302" s="42" t="str">
        <f>Source!E198</f>
        <v>25,1</v>
      </c>
      <c r="C302" s="43" t="str">
        <f>Source!F198</f>
        <v>301-1779</v>
      </c>
      <c r="D302" s="43" t="str">
        <f>Source!G198</f>
        <v>Воздуховоды из листовой стали толщиной 0,7 мм, периметром от 1100 до 1600 мм</v>
      </c>
      <c r="E302" s="29" t="str">
        <f>Source!H198</f>
        <v>м2</v>
      </c>
      <c r="F302" s="30">
        <f>Source!I198</f>
        <v>34.8</v>
      </c>
      <c r="G302" s="31">
        <f>Source!AL198+Source!AM198+Source!AO198</f>
        <v>68.63</v>
      </c>
      <c r="H302" s="37" t="s">
        <v>3</v>
      </c>
      <c r="I302" s="31">
        <f>ROUND(Source!AC198*Source!I198,2)+ROUND(Source!AD198*Source!I198,2)+ROUND(Source!AF198*Source!I198,2)</f>
        <v>2388.32</v>
      </c>
      <c r="J302" s="32"/>
      <c r="K302" s="32">
        <f>IF(Source!BC198&lt;&gt;0,Source!BC198,1)</f>
        <v>3.47</v>
      </c>
      <c r="L302" s="31">
        <f>Source!O198</f>
        <v>8287.48</v>
      </c>
      <c r="M302" s="38"/>
      <c r="S302">
        <f>ROUND((Source!FX198/100)*((ROUND(Source!AF198*Source!I198,2)+ROUND(Source!AE198*Source!I198,2))),2)</f>
        <v>0</v>
      </c>
      <c r="T302">
        <f>Source!X198</f>
        <v>0</v>
      </c>
      <c r="U302">
        <f>ROUND((Source!FY198/100)*((ROUND(Source!AF198*Source!I198,2)+ROUND(Source!AE198*Source!I198,2))),2)</f>
        <v>0</v>
      </c>
      <c r="V302">
        <f>Source!Y198</f>
        <v>0</v>
      </c>
      <c r="W302">
        <f>IF(Source!BI198&lt;=1,I302,0)</f>
        <v>2388.32</v>
      </c>
      <c r="X302">
        <f>IF(Source!BI198=2,I302,0)</f>
        <v>0</v>
      </c>
      <c r="Y302">
        <f>IF(Source!BI198=3,I302,0)</f>
        <v>0</v>
      </c>
      <c r="Z302">
        <f>IF(Source!BI198=4,I302,0)</f>
        <v>0</v>
      </c>
    </row>
    <row r="303" spans="8:26" ht="15">
      <c r="H303" s="74">
        <f>I295+I296+I298+I299+I300+SUM(I302:I302)</f>
        <v>5839.030000000001</v>
      </c>
      <c r="I303" s="74"/>
      <c r="K303" s="74">
        <f>L295+L296+L298+L299+L300+SUM(L302:L302)</f>
        <v>40997.43</v>
      </c>
      <c r="L303" s="74"/>
      <c r="M303" s="34">
        <f>Source!U197</f>
        <v>66.52324499999997</v>
      </c>
      <c r="O303" s="18">
        <f>H303</f>
        <v>5839.030000000001</v>
      </c>
      <c r="P303" s="18">
        <f>K303</f>
        <v>40997.43</v>
      </c>
      <c r="Q303" s="18">
        <f>M303</f>
        <v>66.52324499999997</v>
      </c>
      <c r="W303">
        <f>IF(Source!BI197&lt;=1,I295+I296+I298+I299+I300,0)</f>
        <v>3450.71</v>
      </c>
      <c r="X303">
        <f>IF(Source!BI197=2,I295+I296+I298+I299+I300,0)</f>
        <v>0</v>
      </c>
      <c r="Y303">
        <f>IF(Source!BI197=3,I295+I296+I298+I299+I300,0)</f>
        <v>0</v>
      </c>
      <c r="Z303">
        <f>IF(Source!BI197=4,I295+I296+I298+I299+I300,0)</f>
        <v>0</v>
      </c>
    </row>
    <row r="304" spans="1:22" ht="143.25">
      <c r="A304" s="40">
        <v>64</v>
      </c>
      <c r="B304" s="40" t="str">
        <f>Source!E199</f>
        <v>26</v>
      </c>
      <c r="C304" s="41" t="s">
        <v>791</v>
      </c>
      <c r="D304" s="41" t="str">
        <f>Source!G199</f>
        <v>Установка зонтов над шахтами из листовой стали прямоугольного сечения периметром 1300 мм</v>
      </c>
      <c r="E304" s="26" t="str">
        <f>Source!H199</f>
        <v>1 зонт</v>
      </c>
      <c r="F304" s="10">
        <f>Source!I199</f>
        <v>3</v>
      </c>
      <c r="G304" s="14">
        <f>Source!AL199+Source!AM199+Source!AO199</f>
        <v>25.08</v>
      </c>
      <c r="H304" s="12"/>
      <c r="I304" s="14"/>
      <c r="J304" s="12" t="str">
        <f>Source!BO199</f>
        <v>20-02-010-2</v>
      </c>
      <c r="K304" s="12"/>
      <c r="L304" s="14"/>
      <c r="M304" s="27"/>
      <c r="S304">
        <f>ROUND((Source!FX199/100)*((ROUND(Source!AF199*Source!I199,2)+ROUND(Source!AE199*Source!I199,2))),2)</f>
        <v>86.5</v>
      </c>
      <c r="T304">
        <f>Source!X199</f>
        <v>847.99</v>
      </c>
      <c r="U304">
        <f>ROUND((Source!FY199/100)*((ROUND(Source!AF199*Source!I199,2)+ROUND(Source!AE199*Source!I199,2))),2)</f>
        <v>52.98</v>
      </c>
      <c r="V304">
        <f>Source!Y199</f>
        <v>523.54</v>
      </c>
    </row>
    <row r="305" spans="1:18" ht="14.25">
      <c r="A305" s="40"/>
      <c r="B305" s="40"/>
      <c r="C305" s="41"/>
      <c r="D305" s="41" t="s">
        <v>737</v>
      </c>
      <c r="E305" s="26"/>
      <c r="F305" s="10"/>
      <c r="G305" s="14">
        <f>Source!AO199</f>
        <v>17.41</v>
      </c>
      <c r="H305" s="12" t="str">
        <f>Source!DG199</f>
        <v>)*1,15)*1,25</v>
      </c>
      <c r="I305" s="14">
        <f>ROUND(Source!AF199*Source!I199,2)</f>
        <v>75.09</v>
      </c>
      <c r="J305" s="12"/>
      <c r="K305" s="12">
        <f>IF(Source!BA199&lt;&gt;0,Source!BA199,1)</f>
        <v>9.82</v>
      </c>
      <c r="L305" s="14">
        <f>Source!S199</f>
        <v>737.38</v>
      </c>
      <c r="M305" s="27"/>
      <c r="R305">
        <f>I305</f>
        <v>75.09</v>
      </c>
    </row>
    <row r="306" spans="1:13" ht="14.25">
      <c r="A306" s="40"/>
      <c r="B306" s="40"/>
      <c r="C306" s="41"/>
      <c r="D306" s="41" t="s">
        <v>100</v>
      </c>
      <c r="E306" s="26"/>
      <c r="F306" s="10"/>
      <c r="G306" s="14">
        <f>Source!AM199</f>
        <v>2.46</v>
      </c>
      <c r="H306" s="12" t="str">
        <f>Source!DE199</f>
        <v>)*1,25)*1,25</v>
      </c>
      <c r="I306" s="14">
        <f>ROUND(Source!AD199*Source!I199,2)</f>
        <v>11.52</v>
      </c>
      <c r="J306" s="12"/>
      <c r="K306" s="12">
        <f>IF(Source!BB199&lt;&gt;0,Source!BB199,1)</f>
        <v>5.95</v>
      </c>
      <c r="L306" s="14">
        <f>Source!Q199</f>
        <v>68.54</v>
      </c>
      <c r="M306" s="27"/>
    </row>
    <row r="307" spans="1:13" ht="14.25">
      <c r="A307" s="40"/>
      <c r="B307" s="40"/>
      <c r="C307" s="41"/>
      <c r="D307" s="41" t="s">
        <v>749</v>
      </c>
      <c r="E307" s="26"/>
      <c r="F307" s="10"/>
      <c r="G307" s="14">
        <f>Source!AL199</f>
        <v>5.21</v>
      </c>
      <c r="H307" s="12">
        <f>Source!DD199</f>
      </c>
      <c r="I307" s="14">
        <f>ROUND(Source!AC199*Source!I199,2)</f>
        <v>15.63</v>
      </c>
      <c r="J307" s="12"/>
      <c r="K307" s="12">
        <f>IF(Source!BC199&lt;&gt;0,Source!BC199,1)</f>
        <v>7.72</v>
      </c>
      <c r="L307" s="14">
        <f>Source!P199</f>
        <v>120.66</v>
      </c>
      <c r="M307" s="27"/>
    </row>
    <row r="308" spans="1:13" ht="14.25">
      <c r="A308" s="40"/>
      <c r="B308" s="40"/>
      <c r="C308" s="41"/>
      <c r="D308" s="41" t="s">
        <v>738</v>
      </c>
      <c r="E308" s="26" t="s">
        <v>739</v>
      </c>
      <c r="F308" s="10">
        <f>Source!BZ199</f>
        <v>128</v>
      </c>
      <c r="G308" s="75" t="str">
        <f>CONCATENATE(" )",Source!DL199,Source!FT199,"=",Source!FX199)</f>
        <v> )*0,9=115,2</v>
      </c>
      <c r="H308" s="76"/>
      <c r="I308" s="14">
        <f>SUM(S304:S311)</f>
        <v>86.5</v>
      </c>
      <c r="J308" s="28"/>
      <c r="K308" s="24">
        <f>Source!AT199</f>
        <v>115</v>
      </c>
      <c r="L308" s="14">
        <f>SUM(T304:T311)</f>
        <v>847.99</v>
      </c>
      <c r="M308" s="27"/>
    </row>
    <row r="309" spans="1:13" ht="14.25">
      <c r="A309" s="40"/>
      <c r="B309" s="40"/>
      <c r="C309" s="41"/>
      <c r="D309" s="41" t="s">
        <v>740</v>
      </c>
      <c r="E309" s="26" t="s">
        <v>739</v>
      </c>
      <c r="F309" s="10">
        <f>Source!CA199</f>
        <v>83</v>
      </c>
      <c r="G309" s="75" t="str">
        <f>CONCATENATE(" )",Source!DM199,Source!FU199,"=",Source!FY199)</f>
        <v> )*0,85=70,55</v>
      </c>
      <c r="H309" s="76"/>
      <c r="I309" s="14">
        <f>SUM(U304:U311)</f>
        <v>52.98</v>
      </c>
      <c r="J309" s="28"/>
      <c r="K309" s="24">
        <f>Source!AU199</f>
        <v>71</v>
      </c>
      <c r="L309" s="14">
        <f>SUM(V304:V311)</f>
        <v>523.54</v>
      </c>
      <c r="M309" s="27"/>
    </row>
    <row r="310" spans="1:13" ht="14.25">
      <c r="A310" s="40"/>
      <c r="B310" s="40"/>
      <c r="C310" s="41"/>
      <c r="D310" s="41" t="s">
        <v>741</v>
      </c>
      <c r="E310" s="26" t="s">
        <v>742</v>
      </c>
      <c r="F310" s="10">
        <f>Source!AQ199</f>
        <v>1</v>
      </c>
      <c r="G310" s="14"/>
      <c r="H310" s="12" t="str">
        <f>Source!DI199</f>
        <v>)*1,15)*1,25</v>
      </c>
      <c r="I310" s="14"/>
      <c r="J310" s="12"/>
      <c r="K310" s="12"/>
      <c r="L310" s="14"/>
      <c r="M310" s="36">
        <f>Source!U199</f>
        <v>4.3125</v>
      </c>
    </row>
    <row r="311" spans="1:26" ht="57">
      <c r="A311" s="42">
        <v>65</v>
      </c>
      <c r="B311" s="42" t="str">
        <f>Source!E200</f>
        <v>26,1</v>
      </c>
      <c r="C311" s="43" t="str">
        <f>Source!F200</f>
        <v>301-0849</v>
      </c>
      <c r="D311" s="43" t="str">
        <f>Source!G200</f>
        <v>Зонты вентиляционных систем из листовой оцинкованной стали, прямоугольные, периметром шахты 1200 мм</v>
      </c>
      <c r="E311" s="29" t="str">
        <f>Source!H200</f>
        <v>шт.</v>
      </c>
      <c r="F311" s="30">
        <f>Source!I200</f>
        <v>3</v>
      </c>
      <c r="G311" s="31">
        <f>Source!AL200+Source!AM200+Source!AO200</f>
        <v>423.23</v>
      </c>
      <c r="H311" s="37" t="s">
        <v>3</v>
      </c>
      <c r="I311" s="31">
        <f>ROUND(Source!AC200*Source!I200,2)+ROUND(Source!AD200*Source!I200,2)+ROUND(Source!AF200*Source!I200,2)</f>
        <v>1269.69</v>
      </c>
      <c r="J311" s="32"/>
      <c r="K311" s="32">
        <f>IF(Source!BC200&lt;&gt;0,Source!BC200,1)</f>
        <v>2.61</v>
      </c>
      <c r="L311" s="31">
        <f>Source!O200</f>
        <v>3313.89</v>
      </c>
      <c r="M311" s="38"/>
      <c r="S311">
        <f>ROUND((Source!FX200/100)*((ROUND(Source!AF200*Source!I200,2)+ROUND(Source!AE200*Source!I200,2))),2)</f>
        <v>0</v>
      </c>
      <c r="T311">
        <f>Source!X200</f>
        <v>0</v>
      </c>
      <c r="U311">
        <f>ROUND((Source!FY200/100)*((ROUND(Source!AF200*Source!I200,2)+ROUND(Source!AE200*Source!I200,2))),2)</f>
        <v>0</v>
      </c>
      <c r="V311">
        <f>Source!Y200</f>
        <v>0</v>
      </c>
      <c r="W311">
        <f>IF(Source!BI200&lt;=1,I311,0)</f>
        <v>1269.69</v>
      </c>
      <c r="X311">
        <f>IF(Source!BI200=2,I311,0)</f>
        <v>0</v>
      </c>
      <c r="Y311">
        <f>IF(Source!BI200=3,I311,0)</f>
        <v>0</v>
      </c>
      <c r="Z311">
        <f>IF(Source!BI200=4,I311,0)</f>
        <v>0</v>
      </c>
    </row>
    <row r="312" spans="8:26" ht="15">
      <c r="H312" s="74">
        <f>I305+I306+I307+I308+I309+SUM(I311:I311)</f>
        <v>1511.41</v>
      </c>
      <c r="I312" s="74"/>
      <c r="K312" s="74">
        <f>L305+L306+L307+L308+L309+SUM(L311:L311)</f>
        <v>5612</v>
      </c>
      <c r="L312" s="74"/>
      <c r="M312" s="34">
        <f>Source!U199</f>
        <v>4.3125</v>
      </c>
      <c r="O312" s="18">
        <f>H312</f>
        <v>1511.41</v>
      </c>
      <c r="P312" s="18">
        <f>K312</f>
        <v>5612</v>
      </c>
      <c r="Q312" s="18">
        <f>M312</f>
        <v>4.3125</v>
      </c>
      <c r="W312">
        <f>IF(Source!BI199&lt;=1,I305+I306+I307+I308+I309,0)</f>
        <v>241.72</v>
      </c>
      <c r="X312">
        <f>IF(Source!BI199=2,I305+I306+I307+I308+I309,0)</f>
        <v>0</v>
      </c>
      <c r="Y312">
        <f>IF(Source!BI199=3,I305+I306+I307+I308+I309,0)</f>
        <v>0</v>
      </c>
      <c r="Z312">
        <f>IF(Source!BI199=4,I305+I306+I307+I308+I309,0)</f>
        <v>0</v>
      </c>
    </row>
    <row r="314" spans="1:32" ht="15">
      <c r="A314" s="73" t="str">
        <f>CONCATENATE("Итого по подразделу: ",IF(Source!G202&lt;&gt;"Новый подраздел",Source!G202,""))</f>
        <v>Итого по подразделу: 2.3. Устройство наружней водосточной системы</v>
      </c>
      <c r="B314" s="73"/>
      <c r="C314" s="73"/>
      <c r="D314" s="73"/>
      <c r="E314" s="73"/>
      <c r="F314" s="73"/>
      <c r="G314" s="73"/>
      <c r="H314" s="72">
        <f>SUM(O257:O313)</f>
        <v>18428.079999999998</v>
      </c>
      <c r="I314" s="72"/>
      <c r="J314" s="23"/>
      <c r="K314" s="72">
        <f>SUM(P257:P313)</f>
        <v>126172.31</v>
      </c>
      <c r="L314" s="72"/>
      <c r="M314" s="34">
        <f>SUM(Q257:Q313)</f>
        <v>124.63892624999997</v>
      </c>
      <c r="AF314" s="25" t="str">
        <f>CONCATENATE("Итого по подразделу: ",IF(Source!G202&lt;&gt;"Новый подраздел",Source!G202,""))</f>
        <v>Итого по подразделу: 2.3. Устройство наружней водосточной системы</v>
      </c>
    </row>
    <row r="317" spans="1:13" ht="15">
      <c r="A317" s="73" t="str">
        <f>CONCATENATE("Итого по разделу: ",IF(Source!G233&lt;&gt;"Новый раздел",Source!G233,""))</f>
        <v>Итого по разделу: 2. Строительные работы</v>
      </c>
      <c r="B317" s="73"/>
      <c r="C317" s="73"/>
      <c r="D317" s="73"/>
      <c r="E317" s="73"/>
      <c r="F317" s="73"/>
      <c r="G317" s="73"/>
      <c r="H317" s="72">
        <f>SUM(O97:O316)</f>
        <v>883137.1499999999</v>
      </c>
      <c r="I317" s="72"/>
      <c r="J317" s="23"/>
      <c r="K317" s="72">
        <f>SUM(P97:P316)</f>
        <v>4847674.2700000005</v>
      </c>
      <c r="L317" s="72"/>
      <c r="M317" s="34">
        <f>SUM(Q97:Q316)</f>
        <v>4914.0451137499995</v>
      </c>
    </row>
    <row r="320" spans="1:13" ht="16.5">
      <c r="A320" s="71" t="str">
        <f>CONCATENATE("Раздел: ",IF(Source!G262&lt;&gt;"Новый раздел",Source!G262,""))</f>
        <v>Раздел: 3. Погрузка и вывоз мусора</v>
      </c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</row>
    <row r="321" spans="1:22" ht="42.75">
      <c r="A321" s="40">
        <v>66</v>
      </c>
      <c r="B321" s="40" t="str">
        <f>Source!E266</f>
        <v>27</v>
      </c>
      <c r="C321" s="41" t="str">
        <f>Source!F266</f>
        <v>т01-01-01-041</v>
      </c>
      <c r="D321" s="41" t="str">
        <f>Source!G266</f>
        <v>Погрузка при автомобильных перевозках мусора строительного с погрузкой вручную</v>
      </c>
      <c r="E321" s="26" t="str">
        <f>Source!H266</f>
        <v>1 Т ГРУЗА</v>
      </c>
      <c r="F321" s="10">
        <f>Source!I266</f>
        <v>135.34</v>
      </c>
      <c r="G321" s="14">
        <f>Source!AK266</f>
        <v>61.85</v>
      </c>
      <c r="H321" s="12">
        <f>Source!DC266</f>
      </c>
      <c r="I321" s="14">
        <f>ROUND(Source!AB266*Source!I266,2)</f>
        <v>8370.78</v>
      </c>
      <c r="J321" s="12">
        <f>Source!BO266</f>
      </c>
      <c r="K321" s="12">
        <f>Source!AZ266</f>
        <v>6.38</v>
      </c>
      <c r="L321" s="14">
        <f>Source!GM266</f>
        <v>53405.57</v>
      </c>
      <c r="M321" s="27"/>
      <c r="S321">
        <f>ROUND((Source!FX266/100)*((ROUND(0*Source!I266,2)+ROUND(0*Source!I266,2))),2)</f>
        <v>0</v>
      </c>
      <c r="T321">
        <f>Source!X266</f>
        <v>0</v>
      </c>
      <c r="U321">
        <f>ROUND((Source!FY266/100)*((ROUND(0*Source!I266,2)+ROUND(0*Source!I266,2))),2)</f>
        <v>0</v>
      </c>
      <c r="V321">
        <f>Source!Y266</f>
        <v>0</v>
      </c>
    </row>
    <row r="322" spans="1:13" ht="38.25">
      <c r="A322" s="21"/>
      <c r="B322" s="21"/>
      <c r="C322" s="21"/>
      <c r="D322" s="22" t="str">
        <f>"Объем: "&amp;Source!I266&amp;"=700*"&amp;"0,03*"&amp;"1,2+"&amp;"9,8+"&amp;"18,6*"&amp;"0,05*"&amp;"2+"&amp;"19,6*"&amp;"1,2+"&amp;"0,56+"&amp;"62*"&amp;"1,2"</f>
        <v>Объем: 135,34=700*0,03*1,2+9,8+18,6*0,05*2+19,6*1,2+0,56+62*1,2</v>
      </c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8:26" ht="15">
      <c r="H323" s="74">
        <f>I321</f>
        <v>8370.78</v>
      </c>
      <c r="I323" s="74"/>
      <c r="K323" s="74">
        <f>L321</f>
        <v>53405.57</v>
      </c>
      <c r="L323" s="74"/>
      <c r="M323" s="34">
        <f>Source!U266</f>
        <v>0</v>
      </c>
      <c r="O323" s="18">
        <f>H323</f>
        <v>8370.78</v>
      </c>
      <c r="P323" s="18">
        <f>K323</f>
        <v>53405.57</v>
      </c>
      <c r="Q323" s="18">
        <f>M323</f>
        <v>0</v>
      </c>
      <c r="W323">
        <f>IF(Source!BI266&lt;=1,I321,0)</f>
        <v>8370.78</v>
      </c>
      <c r="X323">
        <f>IF(Source!BI266=2,I321,0)</f>
        <v>0</v>
      </c>
      <c r="Y323">
        <f>IF(Source!BI266=3,I321,0)</f>
        <v>0</v>
      </c>
      <c r="Z323">
        <f>IF(Source!BI266=4,I321,0)</f>
        <v>0</v>
      </c>
    </row>
    <row r="324" spans="1:22" ht="57">
      <c r="A324" s="40">
        <v>67</v>
      </c>
      <c r="B324" s="40" t="str">
        <f>Source!E267</f>
        <v>28</v>
      </c>
      <c r="C324" s="41" t="str">
        <f>Source!F267</f>
        <v>т03-01-01-025</v>
      </c>
      <c r="D324" s="41" t="str">
        <f>Source!G267</f>
        <v>Перевозка грузов I класса автомобилями бортовыми грузоподъемностью до 15 т на расстояние до 25 км</v>
      </c>
      <c r="E324" s="26" t="str">
        <f>Source!H267</f>
        <v>1 Т ГРУЗА</v>
      </c>
      <c r="F324" s="10">
        <f>Source!I267</f>
        <v>135.34</v>
      </c>
      <c r="G324" s="14">
        <f>Source!AK267</f>
        <v>21.87</v>
      </c>
      <c r="H324" s="12">
        <f>Source!DC267</f>
      </c>
      <c r="I324" s="14">
        <f>ROUND(Source!AB267*Source!I267,2)</f>
        <v>2959.89</v>
      </c>
      <c r="J324" s="12">
        <f>Source!BO267</f>
      </c>
      <c r="K324" s="12">
        <f>Source!AZ267</f>
        <v>6.46</v>
      </c>
      <c r="L324" s="14">
        <f>Source!GM267</f>
        <v>19120.86</v>
      </c>
      <c r="M324" s="27"/>
      <c r="S324">
        <f>ROUND((Source!FX267/100)*((ROUND(0*Source!I267,2)+ROUND(0*Source!I267,2))),2)</f>
        <v>0</v>
      </c>
      <c r="T324">
        <f>Source!X267</f>
        <v>0</v>
      </c>
      <c r="U324">
        <f>ROUND((Source!FY267/100)*((ROUND(0*Source!I267,2)+ROUND(0*Source!I267,2))),2)</f>
        <v>0</v>
      </c>
      <c r="V324">
        <f>Source!Y267</f>
        <v>0</v>
      </c>
    </row>
    <row r="325" spans="1:13" ht="38.25">
      <c r="A325" s="21"/>
      <c r="B325" s="21"/>
      <c r="C325" s="21"/>
      <c r="D325" s="22" t="str">
        <f>"Объем: "&amp;Source!I267&amp;"=700*"&amp;"0,03*"&amp;"1,2+"&amp;"9,8+"&amp;"18,6*"&amp;"0,05*"&amp;"2+"&amp;"19,6*"&amp;"1,2+"&amp;"0,56+"&amp;"62*"&amp;"1,2"</f>
        <v>Объем: 135,34=700*0,03*1,2+9,8+18,6*0,05*2+19,6*1,2+0,56+62*1,2</v>
      </c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8:26" ht="15">
      <c r="H326" s="74">
        <f>I324</f>
        <v>2959.89</v>
      </c>
      <c r="I326" s="74"/>
      <c r="K326" s="74">
        <f>L324</f>
        <v>19120.86</v>
      </c>
      <c r="L326" s="74"/>
      <c r="M326" s="34">
        <f>Source!U267</f>
        <v>0</v>
      </c>
      <c r="O326" s="18">
        <f>H326</f>
        <v>2959.89</v>
      </c>
      <c r="P326" s="18">
        <f>K326</f>
        <v>19120.86</v>
      </c>
      <c r="Q326" s="18">
        <f>M326</f>
        <v>0</v>
      </c>
      <c r="W326">
        <f>IF(Source!BI267&lt;=1,I324,0)</f>
        <v>2959.89</v>
      </c>
      <c r="X326">
        <f>IF(Source!BI267=2,I324,0)</f>
        <v>0</v>
      </c>
      <c r="Y326">
        <f>IF(Source!BI267=3,I324,0)</f>
        <v>0</v>
      </c>
      <c r="Z326">
        <f>IF(Source!BI267=4,I324,0)</f>
        <v>0</v>
      </c>
    </row>
    <row r="328" spans="1:13" ht="15">
      <c r="A328" s="73" t="str">
        <f>CONCATENATE("Итого по разделу: ",IF(Source!G269&lt;&gt;"Новый раздел",Source!G269,""))</f>
        <v>Итого по разделу: 3. Погрузка и вывоз мусора</v>
      </c>
      <c r="B328" s="73"/>
      <c r="C328" s="73"/>
      <c r="D328" s="73"/>
      <c r="E328" s="73"/>
      <c r="F328" s="73"/>
      <c r="G328" s="73"/>
      <c r="H328" s="72">
        <f>SUM(O320:O327)</f>
        <v>11330.67</v>
      </c>
      <c r="I328" s="72"/>
      <c r="J328" s="23"/>
      <c r="K328" s="72">
        <f>SUM(P320:P327)</f>
        <v>72526.43</v>
      </c>
      <c r="L328" s="72"/>
      <c r="M328" s="34">
        <f>SUM(Q320:Q327)</f>
        <v>0</v>
      </c>
    </row>
    <row r="331" spans="1:13" ht="15">
      <c r="A331" s="73" t="str">
        <f>CONCATENATE("Итого по локальной смете: ",IF(Source!G298&lt;&gt;"Новая локальная смета",Source!G298,""))</f>
        <v>Итого по локальной смете: </v>
      </c>
      <c r="B331" s="73"/>
      <c r="C331" s="73"/>
      <c r="D331" s="73"/>
      <c r="E331" s="73"/>
      <c r="F331" s="73"/>
      <c r="G331" s="73"/>
      <c r="H331" s="72">
        <f>SUM(O35:O330)</f>
        <v>960973.5000000001</v>
      </c>
      <c r="I331" s="72"/>
      <c r="J331" s="23"/>
      <c r="K331" s="72">
        <f>SUM(P35:P330)</f>
        <v>5553688.5</v>
      </c>
      <c r="L331" s="72"/>
      <c r="M331" s="34">
        <f>SUM(Q35:Q330)</f>
        <v>6402.91801375</v>
      </c>
    </row>
    <row r="334" spans="1:32" ht="15">
      <c r="A334" s="73" t="str">
        <f>CONCATENATE("Итого по смете: ",IF(Source!G327&lt;&gt;"Новый объект",Source!G327,""))</f>
        <v>Итого по смете: 120319-1_КРОВЛЯ_ТЕР_лен обл_(Копия)</v>
      </c>
      <c r="B334" s="73"/>
      <c r="C334" s="73"/>
      <c r="D334" s="73"/>
      <c r="E334" s="73"/>
      <c r="F334" s="73"/>
      <c r="G334" s="73"/>
      <c r="H334" s="72">
        <f>SUM(O1:O333)</f>
        <v>960973.5000000001</v>
      </c>
      <c r="I334" s="72"/>
      <c r="J334" s="23"/>
      <c r="K334" s="72">
        <f>SUM(P1:P333)</f>
        <v>5553688.5</v>
      </c>
      <c r="L334" s="72"/>
      <c r="M334" s="34">
        <f>SUM(Q1:Q333)</f>
        <v>6402.91801375</v>
      </c>
      <c r="AF334" s="25" t="str">
        <f>CONCATENATE("Итого по смете: ",IF(Source!G327&lt;&gt;"Новый объект",Source!G327,""))</f>
        <v>Итого по смете: 120319-1_КРОВЛЯ_ТЕР_лен обл_(Копия)</v>
      </c>
    </row>
    <row r="338" spans="1:13" ht="14.25">
      <c r="A338" s="11"/>
      <c r="B338" s="11"/>
      <c r="C338" s="78" t="s">
        <v>833</v>
      </c>
      <c r="D338" s="78"/>
      <c r="E338" s="19" t="str">
        <f>IF(Source!AM12&lt;&gt;"",Source!AM12," ")</f>
        <v> </v>
      </c>
      <c r="F338" s="19"/>
      <c r="G338" s="19"/>
      <c r="H338" s="19"/>
      <c r="I338" s="19"/>
      <c r="J338" s="11" t="str">
        <f>IF(Source!AL12&lt;&gt;"",Source!AL12," ")</f>
        <v> </v>
      </c>
      <c r="K338" s="11"/>
      <c r="L338" s="11"/>
      <c r="M338" s="11"/>
    </row>
    <row r="339" spans="1:13" ht="14.25">
      <c r="A339" s="11"/>
      <c r="B339" s="11"/>
      <c r="C339" s="11"/>
      <c r="D339" s="11"/>
      <c r="E339" s="77" t="s">
        <v>792</v>
      </c>
      <c r="F339" s="77"/>
      <c r="G339" s="77"/>
      <c r="H339" s="77"/>
      <c r="I339" s="77"/>
      <c r="J339" s="11"/>
      <c r="K339" s="11"/>
      <c r="L339" s="11"/>
      <c r="M339" s="11"/>
    </row>
    <row r="340" spans="1:13" ht="14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4.25">
      <c r="A341" s="11"/>
      <c r="B341" s="11"/>
      <c r="C341" s="78" t="s">
        <v>834</v>
      </c>
      <c r="D341" s="78"/>
      <c r="E341" s="19" t="str">
        <f>IF(Source!AI12&lt;&gt;"",Source!AI12," ")</f>
        <v> </v>
      </c>
      <c r="F341" s="19"/>
      <c r="G341" s="19"/>
      <c r="H341" s="19"/>
      <c r="I341" s="19"/>
      <c r="J341" s="11" t="str">
        <f>IF(Source!AH12&lt;&gt;"",Source!AH12," ")</f>
        <v> </v>
      </c>
      <c r="K341" s="11"/>
      <c r="L341" s="11"/>
      <c r="M341" s="11"/>
    </row>
    <row r="342" spans="1:13" ht="14.25">
      <c r="A342" s="11"/>
      <c r="B342" s="11"/>
      <c r="C342" s="11"/>
      <c r="D342" s="11"/>
      <c r="E342" s="77" t="s">
        <v>792</v>
      </c>
      <c r="F342" s="77"/>
      <c r="G342" s="77"/>
      <c r="H342" s="77"/>
      <c r="I342" s="77"/>
      <c r="J342" s="11"/>
      <c r="K342" s="11"/>
      <c r="L342" s="11"/>
      <c r="M342" s="11"/>
    </row>
  </sheetData>
  <sheetProtection/>
  <mergeCells count="183">
    <mergeCell ref="J2:M2"/>
    <mergeCell ref="I3:M3"/>
    <mergeCell ref="J4:M4"/>
    <mergeCell ref="K6:M6"/>
    <mergeCell ref="K7:M7"/>
    <mergeCell ref="K8:M9"/>
    <mergeCell ref="A9:B9"/>
    <mergeCell ref="C9:I9"/>
    <mergeCell ref="C10:I10"/>
    <mergeCell ref="K10:M11"/>
    <mergeCell ref="A11:B11"/>
    <mergeCell ref="C11:I11"/>
    <mergeCell ref="C12:I12"/>
    <mergeCell ref="K12:M13"/>
    <mergeCell ref="A13:B13"/>
    <mergeCell ref="C13:I13"/>
    <mergeCell ref="C14:I14"/>
    <mergeCell ref="K14:M15"/>
    <mergeCell ref="A15:B15"/>
    <mergeCell ref="C15:I15"/>
    <mergeCell ref="C16:I16"/>
    <mergeCell ref="K16:M17"/>
    <mergeCell ref="A17:B17"/>
    <mergeCell ref="C17:I17"/>
    <mergeCell ref="C18:I18"/>
    <mergeCell ref="H19:J19"/>
    <mergeCell ref="K19:M19"/>
    <mergeCell ref="H20:I20"/>
    <mergeCell ref="K20:M20"/>
    <mergeCell ref="K21:M21"/>
    <mergeCell ref="K22:M22"/>
    <mergeCell ref="G24:G25"/>
    <mergeCell ref="H24:H25"/>
    <mergeCell ref="I24:J24"/>
    <mergeCell ref="B28:M28"/>
    <mergeCell ref="B29:M29"/>
    <mergeCell ref="A31:M31"/>
    <mergeCell ref="A32:B32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C338:D338"/>
    <mergeCell ref="K92:L92"/>
    <mergeCell ref="H92:I92"/>
    <mergeCell ref="G90:H90"/>
    <mergeCell ref="G89:H89"/>
    <mergeCell ref="E339:I339"/>
    <mergeCell ref="C341:D341"/>
    <mergeCell ref="E342:I342"/>
    <mergeCell ref="H94:I94"/>
    <mergeCell ref="K94:L94"/>
    <mergeCell ref="A94:G94"/>
    <mergeCell ref="G135:H135"/>
    <mergeCell ref="K129:L129"/>
    <mergeCell ref="H129:I129"/>
    <mergeCell ref="K118:L118"/>
    <mergeCell ref="K85:L85"/>
    <mergeCell ref="H85:I85"/>
    <mergeCell ref="K76:L76"/>
    <mergeCell ref="H76:I76"/>
    <mergeCell ref="K68:L68"/>
    <mergeCell ref="H68:I68"/>
    <mergeCell ref="G66:H66"/>
    <mergeCell ref="G65:H65"/>
    <mergeCell ref="K59:L59"/>
    <mergeCell ref="H59:I59"/>
    <mergeCell ref="G57:H57"/>
    <mergeCell ref="G56:H56"/>
    <mergeCell ref="K52:L52"/>
    <mergeCell ref="H52:I52"/>
    <mergeCell ref="K43:L43"/>
    <mergeCell ref="H43:I43"/>
    <mergeCell ref="G41:H41"/>
    <mergeCell ref="G40:H40"/>
    <mergeCell ref="A36:M36"/>
    <mergeCell ref="G155:H155"/>
    <mergeCell ref="G154:H154"/>
    <mergeCell ref="K149:L149"/>
    <mergeCell ref="H149:I149"/>
    <mergeCell ref="G147:H147"/>
    <mergeCell ref="G146:H146"/>
    <mergeCell ref="K140:L140"/>
    <mergeCell ref="H140:I140"/>
    <mergeCell ref="G136:H136"/>
    <mergeCell ref="H118:I118"/>
    <mergeCell ref="G115:H115"/>
    <mergeCell ref="G114:H114"/>
    <mergeCell ref="K108:L108"/>
    <mergeCell ref="H108:I108"/>
    <mergeCell ref="G106:H106"/>
    <mergeCell ref="G105:H105"/>
    <mergeCell ref="A99:M99"/>
    <mergeCell ref="A97:M97"/>
    <mergeCell ref="H209:I209"/>
    <mergeCell ref="G206:H206"/>
    <mergeCell ref="G205:H205"/>
    <mergeCell ref="K200:L200"/>
    <mergeCell ref="H200:I200"/>
    <mergeCell ref="G195:H195"/>
    <mergeCell ref="G194:H194"/>
    <mergeCell ref="K188:L188"/>
    <mergeCell ref="H188:I188"/>
    <mergeCell ref="G186:H186"/>
    <mergeCell ref="G185:H185"/>
    <mergeCell ref="K180:L180"/>
    <mergeCell ref="H180:I180"/>
    <mergeCell ref="G176:H176"/>
    <mergeCell ref="G175:H175"/>
    <mergeCell ref="K169:L169"/>
    <mergeCell ref="H169:I169"/>
    <mergeCell ref="G164:H164"/>
    <mergeCell ref="G163:H163"/>
    <mergeCell ref="K157:L157"/>
    <mergeCell ref="H157:I157"/>
    <mergeCell ref="K252:L252"/>
    <mergeCell ref="H252:I252"/>
    <mergeCell ref="G250:H250"/>
    <mergeCell ref="G249:H249"/>
    <mergeCell ref="K243:L243"/>
    <mergeCell ref="H243:I243"/>
    <mergeCell ref="G239:H239"/>
    <mergeCell ref="G238:H238"/>
    <mergeCell ref="K232:L232"/>
    <mergeCell ref="H232:I232"/>
    <mergeCell ref="G228:H228"/>
    <mergeCell ref="G227:H227"/>
    <mergeCell ref="K222:L222"/>
    <mergeCell ref="H222:I222"/>
    <mergeCell ref="G220:H220"/>
    <mergeCell ref="G219:H219"/>
    <mergeCell ref="A214:M214"/>
    <mergeCell ref="H211:I211"/>
    <mergeCell ref="K211:L211"/>
    <mergeCell ref="A211:G211"/>
    <mergeCell ref="K209:L209"/>
    <mergeCell ref="K314:L314"/>
    <mergeCell ref="A314:G314"/>
    <mergeCell ref="K312:L312"/>
    <mergeCell ref="H312:I312"/>
    <mergeCell ref="G309:H309"/>
    <mergeCell ref="G308:H308"/>
    <mergeCell ref="K303:L303"/>
    <mergeCell ref="H303:I303"/>
    <mergeCell ref="G300:H300"/>
    <mergeCell ref="G299:H299"/>
    <mergeCell ref="K293:L293"/>
    <mergeCell ref="H293:I293"/>
    <mergeCell ref="G289:H289"/>
    <mergeCell ref="G288:H288"/>
    <mergeCell ref="K282:L282"/>
    <mergeCell ref="H282:I282"/>
    <mergeCell ref="G265:H265"/>
    <mergeCell ref="G264:H264"/>
    <mergeCell ref="A257:M257"/>
    <mergeCell ref="H254:I254"/>
    <mergeCell ref="K254:L254"/>
    <mergeCell ref="A254:G254"/>
    <mergeCell ref="K323:L323"/>
    <mergeCell ref="H323:I323"/>
    <mergeCell ref="H334:I334"/>
    <mergeCell ref="K334:L334"/>
    <mergeCell ref="A334:G334"/>
    <mergeCell ref="H331:I331"/>
    <mergeCell ref="K331:L331"/>
    <mergeCell ref="A331:G331"/>
    <mergeCell ref="A320:M320"/>
    <mergeCell ref="H317:I317"/>
    <mergeCell ref="K317:L317"/>
    <mergeCell ref="A317:G317"/>
    <mergeCell ref="H314:I314"/>
    <mergeCell ref="H328:I328"/>
    <mergeCell ref="K328:L328"/>
    <mergeCell ref="A328:G328"/>
    <mergeCell ref="K326:L326"/>
    <mergeCell ref="H326:I326"/>
  </mergeCells>
  <printOptions/>
  <pageMargins left="0.4" right="0.2" top="0.2" bottom="0.4" header="0.2" footer="0.2"/>
  <pageSetup fitToHeight="0" fitToWidth="1" orientation="portrait" paperSize="9" scale="58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94"/>
  <sheetViews>
    <sheetView zoomScalePageLayoutView="0" workbookViewId="0" topLeftCell="A1">
      <selection activeCell="A390" sqref="A390:AA390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50447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ht="12.75">
      <c r="A12" s="1">
        <v>1</v>
      </c>
      <c r="B12" s="1">
        <v>389</v>
      </c>
      <c r="C12" s="1">
        <v>0</v>
      </c>
      <c r="D12" s="1">
        <f>ROW(A327)</f>
        <v>327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3</v>
      </c>
      <c r="BZ12" s="1" t="s">
        <v>8</v>
      </c>
      <c r="CA12" s="1" t="s">
        <v>3</v>
      </c>
      <c r="CB12" s="1" t="s">
        <v>3</v>
      </c>
      <c r="CC12" s="1" t="s">
        <v>3</v>
      </c>
      <c r="CD12" s="1" t="s">
        <v>3</v>
      </c>
      <c r="CE12" s="1" t="s">
        <v>9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2">
        <v>52</v>
      </c>
      <c r="B18" s="2">
        <f aca="true" t="shared" si="0" ref="B18:G18">B327</f>
        <v>389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</v>
      </c>
      <c r="G18" s="2" t="str">
        <f t="shared" si="0"/>
        <v>120319-1_КРОВЛЯ_ТЕР_лен обл_(Копия)</v>
      </c>
      <c r="H18" s="2"/>
      <c r="I18" s="2"/>
      <c r="J18" s="2"/>
      <c r="K18" s="2"/>
      <c r="L18" s="2"/>
      <c r="M18" s="2"/>
      <c r="N18" s="2"/>
      <c r="O18" s="2">
        <f aca="true" t="shared" si="1" ref="O18:AT18">O327</f>
        <v>3773135.06</v>
      </c>
      <c r="P18" s="2">
        <f t="shared" si="1"/>
        <v>2598730.04</v>
      </c>
      <c r="Q18" s="2">
        <f t="shared" si="1"/>
        <v>121233.14</v>
      </c>
      <c r="R18" s="2">
        <f t="shared" si="1"/>
        <v>11307.28</v>
      </c>
      <c r="S18" s="2">
        <f t="shared" si="1"/>
        <v>1053171.88</v>
      </c>
      <c r="T18" s="2">
        <f t="shared" si="1"/>
        <v>0</v>
      </c>
      <c r="U18" s="2">
        <f t="shared" si="1"/>
        <v>6402.918013749999</v>
      </c>
      <c r="V18" s="2">
        <f t="shared" si="1"/>
        <v>46.938375</v>
      </c>
      <c r="W18" s="2">
        <f t="shared" si="1"/>
        <v>0</v>
      </c>
      <c r="X18" s="2">
        <f t="shared" si="1"/>
        <v>1085479.15</v>
      </c>
      <c r="Y18" s="2">
        <f t="shared" si="1"/>
        <v>622547.86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5553688.5</v>
      </c>
      <c r="AS18" s="2">
        <f t="shared" si="1"/>
        <v>5326024.64</v>
      </c>
      <c r="AT18" s="2">
        <f t="shared" si="1"/>
        <v>890.57</v>
      </c>
      <c r="AU18" s="2">
        <f aca="true" t="shared" si="2" ref="AU18:BZ18">AU327</f>
        <v>226773.29</v>
      </c>
      <c r="AV18" s="2">
        <f t="shared" si="2"/>
        <v>2598730.04</v>
      </c>
      <c r="AW18" s="2">
        <f t="shared" si="2"/>
        <v>2598730.04</v>
      </c>
      <c r="AX18" s="2">
        <f t="shared" si="2"/>
        <v>0</v>
      </c>
      <c r="AY18" s="2">
        <f t="shared" si="2"/>
        <v>2598730.04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aca="true" t="shared" si="3" ref="CA18:DF18">CA327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aca="true" t="shared" si="4" ref="DG18:EL18">DG327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aca="true" t="shared" si="5" ref="EM18:FR18">EM327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aca="true" t="shared" si="6" ref="FS18:GX18">FS327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88" ht="12.75">
      <c r="A20" s="1">
        <v>3</v>
      </c>
      <c r="B20" s="1">
        <v>1</v>
      </c>
      <c r="C20" s="1"/>
      <c r="D20" s="1">
        <f>ROW(A298)</f>
        <v>298</v>
      </c>
      <c r="E20" s="1"/>
      <c r="F20" s="1" t="s">
        <v>10</v>
      </c>
      <c r="G20" s="1" t="s">
        <v>10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2">
        <v>52</v>
      </c>
      <c r="B22" s="2">
        <f aca="true" t="shared" si="7" ref="B22:G22">B298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aca="true" t="shared" si="8" ref="O22:AT22">O298</f>
        <v>3773135.06</v>
      </c>
      <c r="P22" s="2">
        <f t="shared" si="8"/>
        <v>2598730.04</v>
      </c>
      <c r="Q22" s="2">
        <f t="shared" si="8"/>
        <v>121233.14</v>
      </c>
      <c r="R22" s="2">
        <f t="shared" si="8"/>
        <v>11307.28</v>
      </c>
      <c r="S22" s="2">
        <f t="shared" si="8"/>
        <v>1053171.88</v>
      </c>
      <c r="T22" s="2">
        <f t="shared" si="8"/>
        <v>0</v>
      </c>
      <c r="U22" s="2">
        <f t="shared" si="8"/>
        <v>6402.918013749999</v>
      </c>
      <c r="V22" s="2">
        <f t="shared" si="8"/>
        <v>46.938375</v>
      </c>
      <c r="W22" s="2">
        <f t="shared" si="8"/>
        <v>0</v>
      </c>
      <c r="X22" s="2">
        <f t="shared" si="8"/>
        <v>1085479.15</v>
      </c>
      <c r="Y22" s="2">
        <f t="shared" si="8"/>
        <v>622547.86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5553688.5</v>
      </c>
      <c r="AS22" s="2">
        <f t="shared" si="8"/>
        <v>5326024.64</v>
      </c>
      <c r="AT22" s="2">
        <f t="shared" si="8"/>
        <v>890.57</v>
      </c>
      <c r="AU22" s="2">
        <f aca="true" t="shared" si="9" ref="AU22:BZ22">AU298</f>
        <v>226773.29</v>
      </c>
      <c r="AV22" s="2">
        <f t="shared" si="9"/>
        <v>2598730.04</v>
      </c>
      <c r="AW22" s="2">
        <f t="shared" si="9"/>
        <v>2598730.04</v>
      </c>
      <c r="AX22" s="2">
        <f t="shared" si="9"/>
        <v>0</v>
      </c>
      <c r="AY22" s="2">
        <f t="shared" si="9"/>
        <v>2598730.04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aca="true" t="shared" si="10" ref="CA22:DF22">CA298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aca="true" t="shared" si="11" ref="DG22:EL22">DG298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aca="true" t="shared" si="12" ref="EM22:FR22">EM298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aca="true" t="shared" si="13" ref="FS22:GX22">FS298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ROW(A38)</f>
        <v>38</v>
      </c>
      <c r="E24" s="1"/>
      <c r="F24" s="1" t="s">
        <v>11</v>
      </c>
      <c r="G24" s="1" t="s">
        <v>12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2">
        <v>52</v>
      </c>
      <c r="B26" s="2">
        <f aca="true" t="shared" si="14" ref="B26:G26">B38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1. Демонтажные работы</v>
      </c>
      <c r="H26" s="2"/>
      <c r="I26" s="2"/>
      <c r="J26" s="2"/>
      <c r="K26" s="2"/>
      <c r="L26" s="2"/>
      <c r="M26" s="2"/>
      <c r="N26" s="2"/>
      <c r="O26" s="2">
        <f aca="true" t="shared" si="15" ref="O26:AT26">O38</f>
        <v>267911.18</v>
      </c>
      <c r="P26" s="2">
        <f t="shared" si="15"/>
        <v>216.76</v>
      </c>
      <c r="Q26" s="2">
        <f t="shared" si="15"/>
        <v>31586.72</v>
      </c>
      <c r="R26" s="2">
        <f t="shared" si="15"/>
        <v>1680.54</v>
      </c>
      <c r="S26" s="2">
        <f t="shared" si="15"/>
        <v>236107.7</v>
      </c>
      <c r="T26" s="2">
        <f t="shared" si="15"/>
        <v>0</v>
      </c>
      <c r="U26" s="2">
        <f t="shared" si="15"/>
        <v>1488.8729000000003</v>
      </c>
      <c r="V26" s="2">
        <f t="shared" si="15"/>
        <v>6.977374999999999</v>
      </c>
      <c r="W26" s="2">
        <f t="shared" si="15"/>
        <v>0</v>
      </c>
      <c r="X26" s="2">
        <f t="shared" si="15"/>
        <v>224217.86</v>
      </c>
      <c r="Y26" s="2">
        <f t="shared" si="15"/>
        <v>141358.76</v>
      </c>
      <c r="Z26" s="2">
        <f t="shared" si="15"/>
        <v>0</v>
      </c>
      <c r="AA26" s="2">
        <f t="shared" si="15"/>
        <v>0</v>
      </c>
      <c r="AB26" s="2">
        <f t="shared" si="15"/>
        <v>267911.18</v>
      </c>
      <c r="AC26" s="2">
        <f t="shared" si="15"/>
        <v>216.76</v>
      </c>
      <c r="AD26" s="2">
        <f t="shared" si="15"/>
        <v>31586.72</v>
      </c>
      <c r="AE26" s="2">
        <f t="shared" si="15"/>
        <v>1680.54</v>
      </c>
      <c r="AF26" s="2">
        <f t="shared" si="15"/>
        <v>236107.7</v>
      </c>
      <c r="AG26" s="2">
        <f t="shared" si="15"/>
        <v>0</v>
      </c>
      <c r="AH26" s="2">
        <f t="shared" si="15"/>
        <v>1488.8729000000003</v>
      </c>
      <c r="AI26" s="2">
        <f t="shared" si="15"/>
        <v>6.977374999999999</v>
      </c>
      <c r="AJ26" s="2">
        <f t="shared" si="15"/>
        <v>0</v>
      </c>
      <c r="AK26" s="2">
        <f t="shared" si="15"/>
        <v>224217.86</v>
      </c>
      <c r="AL26" s="2">
        <f t="shared" si="15"/>
        <v>141358.76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633487.8</v>
      </c>
      <c r="AS26" s="2">
        <f t="shared" si="15"/>
        <v>633487.8</v>
      </c>
      <c r="AT26" s="2">
        <f t="shared" si="15"/>
        <v>0</v>
      </c>
      <c r="AU26" s="2">
        <f aca="true" t="shared" si="16" ref="AU26:BZ26">AU38</f>
        <v>0</v>
      </c>
      <c r="AV26" s="2">
        <f t="shared" si="16"/>
        <v>216.76</v>
      </c>
      <c r="AW26" s="2">
        <f t="shared" si="16"/>
        <v>216.76</v>
      </c>
      <c r="AX26" s="2">
        <f t="shared" si="16"/>
        <v>0</v>
      </c>
      <c r="AY26" s="2">
        <f t="shared" si="16"/>
        <v>216.76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aca="true" t="shared" si="17" ref="CA26:DF26">CA38</f>
        <v>633487.8</v>
      </c>
      <c r="CB26" s="2">
        <f t="shared" si="17"/>
        <v>633487.8</v>
      </c>
      <c r="CC26" s="2">
        <f t="shared" si="17"/>
        <v>0</v>
      </c>
      <c r="CD26" s="2">
        <f t="shared" si="17"/>
        <v>0</v>
      </c>
      <c r="CE26" s="2">
        <f t="shared" si="17"/>
        <v>216.76</v>
      </c>
      <c r="CF26" s="2">
        <f t="shared" si="17"/>
        <v>216.76</v>
      </c>
      <c r="CG26" s="2">
        <f t="shared" si="17"/>
        <v>0</v>
      </c>
      <c r="CH26" s="2">
        <f t="shared" si="17"/>
        <v>216.76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aca="true" t="shared" si="18" ref="DG26:EL26">DG38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aca="true" t="shared" si="19" ref="EM26:FR26">EM38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aca="true" t="shared" si="20" ref="FS26:GX26">FS38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13</v>
      </c>
      <c r="F28" t="s">
        <v>14</v>
      </c>
      <c r="G28" t="s">
        <v>15</v>
      </c>
      <c r="H28" t="s">
        <v>16</v>
      </c>
      <c r="I28">
        <v>7</v>
      </c>
      <c r="J28">
        <v>0</v>
      </c>
      <c r="O28">
        <f aca="true" t="shared" si="21" ref="O28:O36">ROUND(CP28,2)</f>
        <v>74476.41</v>
      </c>
      <c r="P28">
        <f aca="true" t="shared" si="22" ref="P28:P36">ROUND(CQ28*I28,2)</f>
        <v>0</v>
      </c>
      <c r="Q28">
        <f aca="true" t="shared" si="23" ref="Q28:Q36">ROUND(CR28*I28,2)</f>
        <v>3919.61</v>
      </c>
      <c r="R28">
        <f aca="true" t="shared" si="24" ref="R28:R36">ROUND(CS28*I28,2)</f>
        <v>0</v>
      </c>
      <c r="S28">
        <f aca="true" t="shared" si="25" ref="S28:S36">ROUND(CT28*I28,2)</f>
        <v>70556.8</v>
      </c>
      <c r="T28">
        <f aca="true" t="shared" si="26" ref="T28:T36">ROUND(CU28*I28,2)</f>
        <v>0</v>
      </c>
      <c r="U28">
        <f aca="true" t="shared" si="27" ref="U28:U36">CV28*I28</f>
        <v>485.80000000000007</v>
      </c>
      <c r="V28">
        <f aca="true" t="shared" si="28" ref="V28:V36">CW28*I28</f>
        <v>0</v>
      </c>
      <c r="W28">
        <f aca="true" t="shared" si="29" ref="W28:W36">ROUND(CX28*I28,2)</f>
        <v>0</v>
      </c>
      <c r="X28">
        <f aca="true" t="shared" si="30" ref="X28:X36">ROUND(CY28,2)</f>
        <v>69851.23</v>
      </c>
      <c r="Y28">
        <f aca="true" t="shared" si="31" ref="Y28:Y36">ROUND(CZ28,2)</f>
        <v>42334.08</v>
      </c>
      <c r="AA28">
        <v>51669678</v>
      </c>
      <c r="AB28">
        <f aca="true" t="shared" si="32" ref="AB28:AB36">ROUND((AC28+AD28+AF28),2)</f>
        <v>1132.48</v>
      </c>
      <c r="AC28">
        <f>ROUND((ES28),2)</f>
        <v>0</v>
      </c>
      <c r="AD28">
        <f>ROUND(((((ET28*1.25))-((EU28*1.25)))+AE28),2)</f>
        <v>106.05</v>
      </c>
      <c r="AE28">
        <f>ROUND(((EU28*1.25)),2)</f>
        <v>0</v>
      </c>
      <c r="AF28">
        <f>ROUND(((EV28*1.25)),2)</f>
        <v>1026.43</v>
      </c>
      <c r="AG28">
        <f aca="true" t="shared" si="33" ref="AG28:AG36">ROUND((AP28),2)</f>
        <v>0</v>
      </c>
      <c r="AH28">
        <f>((EW28*1.25))</f>
        <v>69.4</v>
      </c>
      <c r="AI28">
        <f>((EX28*1.25))</f>
        <v>0</v>
      </c>
      <c r="AJ28">
        <f aca="true" t="shared" si="34" ref="AJ28:AJ36">(AS28)</f>
        <v>0</v>
      </c>
      <c r="AK28">
        <v>905.98</v>
      </c>
      <c r="AL28">
        <v>0</v>
      </c>
      <c r="AM28">
        <v>84.84</v>
      </c>
      <c r="AN28">
        <v>0</v>
      </c>
      <c r="AO28">
        <v>821.14</v>
      </c>
      <c r="AP28">
        <v>0</v>
      </c>
      <c r="AQ28">
        <v>55.52</v>
      </c>
      <c r="AR28">
        <v>0</v>
      </c>
      <c r="AS28">
        <v>0</v>
      </c>
      <c r="AT28">
        <v>99</v>
      </c>
      <c r="AU28">
        <v>60</v>
      </c>
      <c r="AV28">
        <v>1</v>
      </c>
      <c r="AW28">
        <v>1</v>
      </c>
      <c r="AZ28">
        <v>1</v>
      </c>
      <c r="BA28">
        <v>9.82</v>
      </c>
      <c r="BB28">
        <v>5.28</v>
      </c>
      <c r="BC28">
        <v>1</v>
      </c>
      <c r="BH28">
        <v>0</v>
      </c>
      <c r="BI28">
        <v>1</v>
      </c>
      <c r="BJ28" t="s">
        <v>17</v>
      </c>
      <c r="BM28">
        <v>46001</v>
      </c>
      <c r="BN28">
        <v>0</v>
      </c>
      <c r="BO28" t="s">
        <v>14</v>
      </c>
      <c r="BP28">
        <v>1</v>
      </c>
      <c r="BQ28">
        <v>2</v>
      </c>
      <c r="BR28">
        <v>0</v>
      </c>
      <c r="BS28">
        <v>9.82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110</v>
      </c>
      <c r="CA28">
        <v>70</v>
      </c>
      <c r="CE28">
        <v>0</v>
      </c>
      <c r="CF28">
        <v>0</v>
      </c>
      <c r="CG28">
        <v>0</v>
      </c>
      <c r="CM28">
        <v>0</v>
      </c>
      <c r="CN28" t="s">
        <v>18</v>
      </c>
      <c r="CO28">
        <v>0</v>
      </c>
      <c r="CP28">
        <f aca="true" t="shared" si="35" ref="CP28:CP36">(P28+Q28+S28)</f>
        <v>74476.41</v>
      </c>
      <c r="CQ28">
        <f aca="true" t="shared" si="36" ref="CQ28:CQ36">AC28*BC28</f>
        <v>0</v>
      </c>
      <c r="CR28">
        <f aca="true" t="shared" si="37" ref="CR28:CR36">AD28*BB28</f>
        <v>559.944</v>
      </c>
      <c r="CS28">
        <f aca="true" t="shared" si="38" ref="CS28:CS36">AE28*BS28</f>
        <v>0</v>
      </c>
      <c r="CT28">
        <f aca="true" t="shared" si="39" ref="CT28:CT36">AF28*BA28</f>
        <v>10079.5426</v>
      </c>
      <c r="CU28">
        <f aca="true" t="shared" si="40" ref="CU28:CU36">AG28</f>
        <v>0</v>
      </c>
      <c r="CV28">
        <f aca="true" t="shared" si="41" ref="CV28:CV36">AH28</f>
        <v>69.4</v>
      </c>
      <c r="CW28">
        <f aca="true" t="shared" si="42" ref="CW28:CW36">AI28</f>
        <v>0</v>
      </c>
      <c r="CX28">
        <f aca="true" t="shared" si="43" ref="CX28:CX36">AJ28</f>
        <v>0</v>
      </c>
      <c r="CY28">
        <f aca="true" t="shared" si="44" ref="CY28:CY36">(((S28+R28)*AT28)/100)</f>
        <v>69851.232</v>
      </c>
      <c r="CZ28">
        <f aca="true" t="shared" si="45" ref="CZ28:CZ36">(((S28+R28)*AU28)/100)</f>
        <v>42334.08</v>
      </c>
      <c r="DE28" t="s">
        <v>19</v>
      </c>
      <c r="DF28" t="s">
        <v>19</v>
      </c>
      <c r="DG28" t="s">
        <v>19</v>
      </c>
      <c r="DI28" t="s">
        <v>19</v>
      </c>
      <c r="DJ28" t="s">
        <v>19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16</v>
      </c>
      <c r="DW28" t="s">
        <v>16</v>
      </c>
      <c r="DX28">
        <v>1</v>
      </c>
      <c r="EE28">
        <v>48034456</v>
      </c>
      <c r="EF28">
        <v>2</v>
      </c>
      <c r="EG28" t="s">
        <v>20</v>
      </c>
      <c r="EH28">
        <v>0</v>
      </c>
      <c r="EJ28">
        <v>1</v>
      </c>
      <c r="EK28">
        <v>46001</v>
      </c>
      <c r="EL28" t="s">
        <v>21</v>
      </c>
      <c r="EM28" t="s">
        <v>22</v>
      </c>
      <c r="EO28" t="s">
        <v>23</v>
      </c>
      <c r="EQ28">
        <v>131584</v>
      </c>
      <c r="ER28">
        <v>905.98</v>
      </c>
      <c r="ES28">
        <v>0</v>
      </c>
      <c r="ET28">
        <v>84.84</v>
      </c>
      <c r="EU28">
        <v>0</v>
      </c>
      <c r="EV28">
        <v>821.14</v>
      </c>
      <c r="EW28">
        <v>55.52</v>
      </c>
      <c r="EX28">
        <v>0</v>
      </c>
      <c r="EY28">
        <v>0</v>
      </c>
      <c r="FQ28">
        <v>0</v>
      </c>
      <c r="FR28">
        <f aca="true" t="shared" si="46" ref="FR28:FR36">ROUND(IF(AND(BH28=3,BI28=3),P28,0),2)</f>
        <v>0</v>
      </c>
      <c r="FS28">
        <v>0</v>
      </c>
      <c r="FT28" t="s">
        <v>24</v>
      </c>
      <c r="FU28" t="s">
        <v>25</v>
      </c>
      <c r="FX28">
        <v>99</v>
      </c>
      <c r="FY28">
        <v>59.5</v>
      </c>
      <c r="GD28">
        <v>1</v>
      </c>
      <c r="GF28">
        <v>1578732763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aca="true" t="shared" si="47" ref="GL28:GL36">ROUND(IF(AND(BH28=3,BI28=3,FS28&lt;&gt;0),P28,0),2)</f>
        <v>0</v>
      </c>
      <c r="GM28">
        <f aca="true" t="shared" si="48" ref="GM28:GM36">ROUND(O28+X28+Y28,2)+GX28</f>
        <v>186661.72</v>
      </c>
      <c r="GN28">
        <f aca="true" t="shared" si="49" ref="GN28:GN36">IF(OR(BI28=0,BI28=1),ROUND(O28+X28+Y28,2),0)</f>
        <v>186661.72</v>
      </c>
      <c r="GO28">
        <f aca="true" t="shared" si="50" ref="GO28:GO36">IF(BI28=2,ROUND(O28+X28+Y28,2),0)</f>
        <v>0</v>
      </c>
      <c r="GP28">
        <f aca="true" t="shared" si="51" ref="GP28:GP36">IF(BI28=4,ROUND(O28+X28+Y28,2)+GX28,0)</f>
        <v>0</v>
      </c>
      <c r="GR28">
        <v>0</v>
      </c>
      <c r="GS28">
        <v>3</v>
      </c>
      <c r="GT28">
        <v>0</v>
      </c>
      <c r="GV28">
        <f aca="true" t="shared" si="52" ref="GV28:GV36">ROUND((GT28),2)</f>
        <v>0</v>
      </c>
      <c r="GW28">
        <v>1</v>
      </c>
      <c r="GX28">
        <f aca="true" t="shared" si="53" ref="GX28:GX36">ROUND(HC28*I28,2)</f>
        <v>0</v>
      </c>
      <c r="HA28">
        <v>0</v>
      </c>
      <c r="HB28">
        <v>0</v>
      </c>
      <c r="HC28">
        <f aca="true" t="shared" si="54" ref="HC28:HC36">GV28*GW28</f>
        <v>0</v>
      </c>
      <c r="IK28">
        <v>0</v>
      </c>
    </row>
    <row r="29" spans="1:245" ht="12.75">
      <c r="A29">
        <v>17</v>
      </c>
      <c r="B29">
        <v>1</v>
      </c>
      <c r="C29">
        <f>ROW(SmtRes!A6)</f>
        <v>6</v>
      </c>
      <c r="D29">
        <f>ROW(EtalonRes!A6)</f>
        <v>6</v>
      </c>
      <c r="E29" t="s">
        <v>26</v>
      </c>
      <c r="F29" t="s">
        <v>27</v>
      </c>
      <c r="G29" t="s">
        <v>28</v>
      </c>
      <c r="H29" t="s">
        <v>29</v>
      </c>
      <c r="I29">
        <v>7</v>
      </c>
      <c r="J29">
        <v>0</v>
      </c>
      <c r="O29">
        <f t="shared" si="21"/>
        <v>22861.57</v>
      </c>
      <c r="P29">
        <f t="shared" si="22"/>
        <v>0</v>
      </c>
      <c r="Q29">
        <f t="shared" si="23"/>
        <v>3243.86</v>
      </c>
      <c r="R29">
        <f t="shared" si="24"/>
        <v>969.23</v>
      </c>
      <c r="S29">
        <f t="shared" si="25"/>
        <v>19617.71</v>
      </c>
      <c r="T29">
        <f t="shared" si="26"/>
        <v>0</v>
      </c>
      <c r="U29">
        <f t="shared" si="27"/>
        <v>132.65</v>
      </c>
      <c r="V29">
        <f t="shared" si="28"/>
        <v>4.025</v>
      </c>
      <c r="W29">
        <f t="shared" si="29"/>
        <v>0</v>
      </c>
      <c r="X29">
        <f t="shared" si="30"/>
        <v>17087.16</v>
      </c>
      <c r="Y29">
        <f t="shared" si="31"/>
        <v>13381.51</v>
      </c>
      <c r="AA29">
        <v>51669678</v>
      </c>
      <c r="AB29">
        <f t="shared" si="32"/>
        <v>342.25</v>
      </c>
      <c r="AC29">
        <f>ROUND((ES29),2)</f>
        <v>0</v>
      </c>
      <c r="AD29">
        <f>ROUND(((((ET29*1.25))-((EU29*1.25)))+AE29),2)</f>
        <v>56.86</v>
      </c>
      <c r="AE29">
        <f>ROUND(((EU29*1.25)),2)</f>
        <v>14.1</v>
      </c>
      <c r="AF29">
        <f>ROUND(((EV29*1.25)),2)</f>
        <v>285.39</v>
      </c>
      <c r="AG29">
        <f t="shared" si="33"/>
        <v>0</v>
      </c>
      <c r="AH29">
        <f>((EW29*1.25))</f>
        <v>18.95</v>
      </c>
      <c r="AI29">
        <f>((EX29*1.25))</f>
        <v>0.5750000000000001</v>
      </c>
      <c r="AJ29">
        <f t="shared" si="34"/>
        <v>0</v>
      </c>
      <c r="AK29">
        <v>273.8</v>
      </c>
      <c r="AL29">
        <v>0</v>
      </c>
      <c r="AM29">
        <v>45.49</v>
      </c>
      <c r="AN29">
        <v>11.28</v>
      </c>
      <c r="AO29">
        <v>228.31</v>
      </c>
      <c r="AP29">
        <v>0</v>
      </c>
      <c r="AQ29">
        <v>15.16</v>
      </c>
      <c r="AR29">
        <v>0.46</v>
      </c>
      <c r="AS29">
        <v>0</v>
      </c>
      <c r="AT29">
        <v>83</v>
      </c>
      <c r="AU29">
        <v>65</v>
      </c>
      <c r="AV29">
        <v>1</v>
      </c>
      <c r="AW29">
        <v>1</v>
      </c>
      <c r="AZ29">
        <v>1</v>
      </c>
      <c r="BA29">
        <v>9.82</v>
      </c>
      <c r="BB29">
        <v>8.15</v>
      </c>
      <c r="BC29">
        <v>1</v>
      </c>
      <c r="BH29">
        <v>0</v>
      </c>
      <c r="BI29">
        <v>1</v>
      </c>
      <c r="BJ29" t="s">
        <v>30</v>
      </c>
      <c r="BM29">
        <v>58001</v>
      </c>
      <c r="BN29">
        <v>0</v>
      </c>
      <c r="BO29" t="s">
        <v>27</v>
      </c>
      <c r="BP29">
        <v>1</v>
      </c>
      <c r="BQ29">
        <v>6</v>
      </c>
      <c r="BR29">
        <v>0</v>
      </c>
      <c r="BS29">
        <v>9.82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83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18</v>
      </c>
      <c r="CO29">
        <v>0</v>
      </c>
      <c r="CP29">
        <f t="shared" si="35"/>
        <v>22861.57</v>
      </c>
      <c r="CQ29">
        <f t="shared" si="36"/>
        <v>0</v>
      </c>
      <c r="CR29">
        <f t="shared" si="37"/>
        <v>463.409</v>
      </c>
      <c r="CS29">
        <f t="shared" si="38"/>
        <v>138.462</v>
      </c>
      <c r="CT29">
        <f t="shared" si="39"/>
        <v>2802.5298</v>
      </c>
      <c r="CU29">
        <f t="shared" si="40"/>
        <v>0</v>
      </c>
      <c r="CV29">
        <f t="shared" si="41"/>
        <v>18.95</v>
      </c>
      <c r="CW29">
        <f t="shared" si="42"/>
        <v>0.5750000000000001</v>
      </c>
      <c r="CX29">
        <f t="shared" si="43"/>
        <v>0</v>
      </c>
      <c r="CY29">
        <f t="shared" si="44"/>
        <v>17087.1602</v>
      </c>
      <c r="CZ29">
        <f t="shared" si="45"/>
        <v>13381.510999999999</v>
      </c>
      <c r="DE29" t="s">
        <v>19</v>
      </c>
      <c r="DF29" t="s">
        <v>19</v>
      </c>
      <c r="DG29" t="s">
        <v>19</v>
      </c>
      <c r="DI29" t="s">
        <v>19</v>
      </c>
      <c r="DJ29" t="s">
        <v>19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29</v>
      </c>
      <c r="DW29" t="s">
        <v>29</v>
      </c>
      <c r="DX29">
        <v>1</v>
      </c>
      <c r="EE29">
        <v>48034468</v>
      </c>
      <c r="EF29">
        <v>6</v>
      </c>
      <c r="EG29" t="s">
        <v>31</v>
      </c>
      <c r="EH29">
        <v>0</v>
      </c>
      <c r="EJ29">
        <v>1</v>
      </c>
      <c r="EK29">
        <v>58001</v>
      </c>
      <c r="EL29" t="s">
        <v>32</v>
      </c>
      <c r="EM29" t="s">
        <v>33</v>
      </c>
      <c r="EO29" t="s">
        <v>23</v>
      </c>
      <c r="EQ29">
        <v>131584</v>
      </c>
      <c r="ER29">
        <v>273.8</v>
      </c>
      <c r="ES29">
        <v>0</v>
      </c>
      <c r="ET29">
        <v>45.49</v>
      </c>
      <c r="EU29">
        <v>11.28</v>
      </c>
      <c r="EV29">
        <v>228.31</v>
      </c>
      <c r="EW29">
        <v>15.16</v>
      </c>
      <c r="EX29">
        <v>0.46</v>
      </c>
      <c r="EY29">
        <v>0</v>
      </c>
      <c r="FQ29">
        <v>0</v>
      </c>
      <c r="FR29">
        <f t="shared" si="46"/>
        <v>0</v>
      </c>
      <c r="FS29">
        <v>0</v>
      </c>
      <c r="FX29">
        <v>83</v>
      </c>
      <c r="FY29">
        <v>65</v>
      </c>
      <c r="GD29">
        <v>1</v>
      </c>
      <c r="GF29">
        <v>2103157936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7"/>
        <v>0</v>
      </c>
      <c r="GM29">
        <f t="shared" si="48"/>
        <v>53330.24</v>
      </c>
      <c r="GN29">
        <f t="shared" si="49"/>
        <v>53330.24</v>
      </c>
      <c r="GO29">
        <f t="shared" si="50"/>
        <v>0</v>
      </c>
      <c r="GP29">
        <f t="shared" si="51"/>
        <v>0</v>
      </c>
      <c r="GR29">
        <v>0</v>
      </c>
      <c r="GS29">
        <v>3</v>
      </c>
      <c r="GT29">
        <v>0</v>
      </c>
      <c r="GV29">
        <f t="shared" si="52"/>
        <v>0</v>
      </c>
      <c r="GW29">
        <v>1</v>
      </c>
      <c r="GX29">
        <f t="shared" si="53"/>
        <v>0</v>
      </c>
      <c r="HA29">
        <v>0</v>
      </c>
      <c r="HB29">
        <v>0</v>
      </c>
      <c r="HC29">
        <f t="shared" si="54"/>
        <v>0</v>
      </c>
      <c r="IK29">
        <v>0</v>
      </c>
    </row>
    <row r="30" spans="1:245" ht="12.75">
      <c r="A30">
        <v>18</v>
      </c>
      <c r="B30">
        <v>1</v>
      </c>
      <c r="C30">
        <v>6</v>
      </c>
      <c r="E30" t="s">
        <v>34</v>
      </c>
      <c r="F30" t="s">
        <v>35</v>
      </c>
      <c r="G30" t="s">
        <v>36</v>
      </c>
      <c r="H30" t="s">
        <v>37</v>
      </c>
      <c r="I30">
        <f>I29*J30</f>
        <v>9.8</v>
      </c>
      <c r="J30">
        <v>1.4000000000000001</v>
      </c>
      <c r="O30">
        <f t="shared" si="21"/>
        <v>0</v>
      </c>
      <c r="P30">
        <f t="shared" si="22"/>
        <v>0</v>
      </c>
      <c r="Q30">
        <f t="shared" si="23"/>
        <v>0</v>
      </c>
      <c r="R30">
        <f t="shared" si="24"/>
        <v>0</v>
      </c>
      <c r="S30">
        <f t="shared" si="25"/>
        <v>0</v>
      </c>
      <c r="T30">
        <f t="shared" si="26"/>
        <v>0</v>
      </c>
      <c r="U30">
        <f t="shared" si="27"/>
        <v>0</v>
      </c>
      <c r="V30">
        <f t="shared" si="28"/>
        <v>0</v>
      </c>
      <c r="W30">
        <f t="shared" si="29"/>
        <v>0</v>
      </c>
      <c r="X30">
        <f t="shared" si="30"/>
        <v>0</v>
      </c>
      <c r="Y30">
        <f t="shared" si="31"/>
        <v>0</v>
      </c>
      <c r="AA30">
        <v>51669678</v>
      </c>
      <c r="AB30">
        <f t="shared" si="32"/>
        <v>0</v>
      </c>
      <c r="AC30">
        <f>ROUND((ES30),2)</f>
        <v>0</v>
      </c>
      <c r="AD30">
        <f>ROUND((((ET30)-(EU30))+AE30),2)</f>
        <v>0</v>
      </c>
      <c r="AE30">
        <f>ROUND((EU30),2)</f>
        <v>0</v>
      </c>
      <c r="AF30">
        <f>ROUND((EV30),2)</f>
        <v>0</v>
      </c>
      <c r="AG30">
        <f t="shared" si="33"/>
        <v>0</v>
      </c>
      <c r="AH30">
        <f>(EW30)</f>
        <v>0</v>
      </c>
      <c r="AI30">
        <f>(EX30)</f>
        <v>0</v>
      </c>
      <c r="AJ30">
        <f t="shared" si="34"/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2</v>
      </c>
      <c r="BJ30" t="s">
        <v>38</v>
      </c>
      <c r="BM30">
        <v>500002</v>
      </c>
      <c r="BN30">
        <v>0</v>
      </c>
      <c r="BP30">
        <v>0</v>
      </c>
      <c r="BQ30">
        <v>12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E30">
        <v>0</v>
      </c>
      <c r="CF30">
        <v>0</v>
      </c>
      <c r="CG30">
        <v>0</v>
      </c>
      <c r="CM30">
        <v>0</v>
      </c>
      <c r="CO30">
        <v>0</v>
      </c>
      <c r="CP30">
        <f t="shared" si="35"/>
        <v>0</v>
      </c>
      <c r="CQ30">
        <f t="shared" si="36"/>
        <v>0</v>
      </c>
      <c r="CR30">
        <f t="shared" si="37"/>
        <v>0</v>
      </c>
      <c r="CS30">
        <f t="shared" si="38"/>
        <v>0</v>
      </c>
      <c r="CT30">
        <f t="shared" si="39"/>
        <v>0</v>
      </c>
      <c r="CU30">
        <f t="shared" si="40"/>
        <v>0</v>
      </c>
      <c r="CV30">
        <f t="shared" si="41"/>
        <v>0</v>
      </c>
      <c r="CW30">
        <f t="shared" si="42"/>
        <v>0</v>
      </c>
      <c r="CX30">
        <f t="shared" si="43"/>
        <v>0</v>
      </c>
      <c r="CY30">
        <f t="shared" si="44"/>
        <v>0</v>
      </c>
      <c r="CZ30">
        <f t="shared" si="45"/>
        <v>0</v>
      </c>
      <c r="DN30">
        <v>0</v>
      </c>
      <c r="DO30">
        <v>0</v>
      </c>
      <c r="DP30">
        <v>1</v>
      </c>
      <c r="DQ30">
        <v>1</v>
      </c>
      <c r="DU30">
        <v>1009</v>
      </c>
      <c r="DV30" t="s">
        <v>37</v>
      </c>
      <c r="DW30" t="s">
        <v>37</v>
      </c>
      <c r="DX30">
        <v>1000</v>
      </c>
      <c r="EE30">
        <v>48034322</v>
      </c>
      <c r="EF30">
        <v>12</v>
      </c>
      <c r="EG30" t="s">
        <v>39</v>
      </c>
      <c r="EH30">
        <v>0</v>
      </c>
      <c r="EJ30">
        <v>2</v>
      </c>
      <c r="EK30">
        <v>500002</v>
      </c>
      <c r="EL30" t="s">
        <v>40</v>
      </c>
      <c r="EM30" t="s">
        <v>41</v>
      </c>
      <c r="EQ30">
        <v>512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FQ30">
        <v>0</v>
      </c>
      <c r="FR30">
        <f t="shared" si="46"/>
        <v>0</v>
      </c>
      <c r="FS30">
        <v>0</v>
      </c>
      <c r="FX30">
        <v>0</v>
      </c>
      <c r="FY30">
        <v>0</v>
      </c>
      <c r="GD30">
        <v>1</v>
      </c>
      <c r="GF30">
        <v>-182198044</v>
      </c>
      <c r="GG30">
        <v>2</v>
      </c>
      <c r="GH30">
        <v>1</v>
      </c>
      <c r="GI30">
        <v>-2</v>
      </c>
      <c r="GJ30">
        <v>0</v>
      </c>
      <c r="GK30">
        <v>0</v>
      </c>
      <c r="GL30">
        <f t="shared" si="47"/>
        <v>0</v>
      </c>
      <c r="GM30">
        <f t="shared" si="48"/>
        <v>0</v>
      </c>
      <c r="GN30">
        <f t="shared" si="49"/>
        <v>0</v>
      </c>
      <c r="GO30">
        <f t="shared" si="50"/>
        <v>0</v>
      </c>
      <c r="GP30">
        <f t="shared" si="51"/>
        <v>0</v>
      </c>
      <c r="GR30">
        <v>0</v>
      </c>
      <c r="GS30">
        <v>3</v>
      </c>
      <c r="GT30">
        <v>0</v>
      </c>
      <c r="GV30">
        <f t="shared" si="52"/>
        <v>0</v>
      </c>
      <c r="GW30">
        <v>1</v>
      </c>
      <c r="GX30">
        <f t="shared" si="53"/>
        <v>0</v>
      </c>
      <c r="HA30">
        <v>0</v>
      </c>
      <c r="HB30">
        <v>0</v>
      </c>
      <c r="HC30">
        <f t="shared" si="54"/>
        <v>0</v>
      </c>
      <c r="IK30">
        <v>0</v>
      </c>
    </row>
    <row r="31" spans="1:245" ht="12.75">
      <c r="A31">
        <v>17</v>
      </c>
      <c r="B31">
        <v>1</v>
      </c>
      <c r="C31">
        <f>ROW(SmtRes!A8)</f>
        <v>8</v>
      </c>
      <c r="D31">
        <f>ROW(EtalonRes!A8)</f>
        <v>8</v>
      </c>
      <c r="E31" t="s">
        <v>42</v>
      </c>
      <c r="F31" t="s">
        <v>43</v>
      </c>
      <c r="G31" t="s">
        <v>44</v>
      </c>
      <c r="H31" t="s">
        <v>16</v>
      </c>
      <c r="I31">
        <v>0.186</v>
      </c>
      <c r="J31">
        <v>0</v>
      </c>
      <c r="O31">
        <f t="shared" si="21"/>
        <v>305.16</v>
      </c>
      <c r="P31">
        <f t="shared" si="22"/>
        <v>0</v>
      </c>
      <c r="Q31">
        <f t="shared" si="23"/>
        <v>15.42</v>
      </c>
      <c r="R31">
        <f t="shared" si="24"/>
        <v>0</v>
      </c>
      <c r="S31">
        <f t="shared" si="25"/>
        <v>289.74</v>
      </c>
      <c r="T31">
        <f t="shared" si="26"/>
        <v>0</v>
      </c>
      <c r="U31">
        <f t="shared" si="27"/>
        <v>1.99485</v>
      </c>
      <c r="V31">
        <f t="shared" si="28"/>
        <v>0</v>
      </c>
      <c r="W31">
        <f t="shared" si="29"/>
        <v>0</v>
      </c>
      <c r="X31">
        <f t="shared" si="30"/>
        <v>286.84</v>
      </c>
      <c r="Y31">
        <f t="shared" si="31"/>
        <v>173.84</v>
      </c>
      <c r="AA31">
        <v>51669678</v>
      </c>
      <c r="AB31">
        <f t="shared" si="32"/>
        <v>174.33</v>
      </c>
      <c r="AC31">
        <f>ROUND((ES31),2)</f>
        <v>0</v>
      </c>
      <c r="AD31">
        <f>ROUND(((((ET31*1.25))-((EU31*1.25)))+AE31),2)</f>
        <v>15.7</v>
      </c>
      <c r="AE31">
        <f>ROUND(((EU31*1.25)),2)</f>
        <v>0</v>
      </c>
      <c r="AF31">
        <f>ROUND(((EV31*1.25)),2)</f>
        <v>158.63</v>
      </c>
      <c r="AG31">
        <f t="shared" si="33"/>
        <v>0</v>
      </c>
      <c r="AH31">
        <f>((EW31*1.25))</f>
        <v>10.725</v>
      </c>
      <c r="AI31">
        <f>((EX31*1.25))</f>
        <v>0</v>
      </c>
      <c r="AJ31">
        <f t="shared" si="34"/>
        <v>0</v>
      </c>
      <c r="AK31">
        <v>139.46</v>
      </c>
      <c r="AL31">
        <v>0</v>
      </c>
      <c r="AM31">
        <v>12.56</v>
      </c>
      <c r="AN31">
        <v>0</v>
      </c>
      <c r="AO31">
        <v>126.9</v>
      </c>
      <c r="AP31">
        <v>0</v>
      </c>
      <c r="AQ31">
        <v>8.58</v>
      </c>
      <c r="AR31">
        <v>0</v>
      </c>
      <c r="AS31">
        <v>0</v>
      </c>
      <c r="AT31">
        <v>99</v>
      </c>
      <c r="AU31">
        <v>60</v>
      </c>
      <c r="AV31">
        <v>1</v>
      </c>
      <c r="AW31">
        <v>1</v>
      </c>
      <c r="AZ31">
        <v>1</v>
      </c>
      <c r="BA31">
        <v>9.82</v>
      </c>
      <c r="BB31">
        <v>5.28</v>
      </c>
      <c r="BC31">
        <v>1</v>
      </c>
      <c r="BH31">
        <v>0</v>
      </c>
      <c r="BI31">
        <v>1</v>
      </c>
      <c r="BJ31" t="s">
        <v>45</v>
      </c>
      <c r="BM31">
        <v>46001</v>
      </c>
      <c r="BN31">
        <v>0</v>
      </c>
      <c r="BO31" t="s">
        <v>43</v>
      </c>
      <c r="BP31">
        <v>1</v>
      </c>
      <c r="BQ31">
        <v>2</v>
      </c>
      <c r="BR31">
        <v>0</v>
      </c>
      <c r="BS31">
        <v>9.82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110</v>
      </c>
      <c r="CA31">
        <v>70</v>
      </c>
      <c r="CE31">
        <v>0</v>
      </c>
      <c r="CF31">
        <v>0</v>
      </c>
      <c r="CG31">
        <v>0</v>
      </c>
      <c r="CM31">
        <v>0</v>
      </c>
      <c r="CN31" t="s">
        <v>18</v>
      </c>
      <c r="CO31">
        <v>0</v>
      </c>
      <c r="CP31">
        <f t="shared" si="35"/>
        <v>305.16</v>
      </c>
      <c r="CQ31">
        <f t="shared" si="36"/>
        <v>0</v>
      </c>
      <c r="CR31">
        <f t="shared" si="37"/>
        <v>82.896</v>
      </c>
      <c r="CS31">
        <f t="shared" si="38"/>
        <v>0</v>
      </c>
      <c r="CT31">
        <f t="shared" si="39"/>
        <v>1557.7466</v>
      </c>
      <c r="CU31">
        <f t="shared" si="40"/>
        <v>0</v>
      </c>
      <c r="CV31">
        <f t="shared" si="41"/>
        <v>10.725</v>
      </c>
      <c r="CW31">
        <f t="shared" si="42"/>
        <v>0</v>
      </c>
      <c r="CX31">
        <f t="shared" si="43"/>
        <v>0</v>
      </c>
      <c r="CY31">
        <f t="shared" si="44"/>
        <v>286.8426</v>
      </c>
      <c r="CZ31">
        <f t="shared" si="45"/>
        <v>173.84400000000002</v>
      </c>
      <c r="DE31" t="s">
        <v>19</v>
      </c>
      <c r="DF31" t="s">
        <v>19</v>
      </c>
      <c r="DG31" t="s">
        <v>19</v>
      </c>
      <c r="DI31" t="s">
        <v>19</v>
      </c>
      <c r="DJ31" t="s">
        <v>19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16</v>
      </c>
      <c r="DW31" t="s">
        <v>16</v>
      </c>
      <c r="DX31">
        <v>1</v>
      </c>
      <c r="EE31">
        <v>48034456</v>
      </c>
      <c r="EF31">
        <v>2</v>
      </c>
      <c r="EG31" t="s">
        <v>20</v>
      </c>
      <c r="EH31">
        <v>0</v>
      </c>
      <c r="EJ31">
        <v>1</v>
      </c>
      <c r="EK31">
        <v>46001</v>
      </c>
      <c r="EL31" t="s">
        <v>21</v>
      </c>
      <c r="EM31" t="s">
        <v>22</v>
      </c>
      <c r="EO31" t="s">
        <v>23</v>
      </c>
      <c r="EQ31">
        <v>131584</v>
      </c>
      <c r="ER31">
        <v>139.46</v>
      </c>
      <c r="ES31">
        <v>0</v>
      </c>
      <c r="ET31">
        <v>12.56</v>
      </c>
      <c r="EU31">
        <v>0</v>
      </c>
      <c r="EV31">
        <v>126.9</v>
      </c>
      <c r="EW31">
        <v>8.58</v>
      </c>
      <c r="EX31">
        <v>0</v>
      </c>
      <c r="EY31">
        <v>0</v>
      </c>
      <c r="FQ31">
        <v>0</v>
      </c>
      <c r="FR31">
        <f t="shared" si="46"/>
        <v>0</v>
      </c>
      <c r="FS31">
        <v>0</v>
      </c>
      <c r="FT31" t="s">
        <v>24</v>
      </c>
      <c r="FU31" t="s">
        <v>25</v>
      </c>
      <c r="FX31">
        <v>99</v>
      </c>
      <c r="FY31">
        <v>59.5</v>
      </c>
      <c r="GD31">
        <v>1</v>
      </c>
      <c r="GF31">
        <v>1876821190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7"/>
        <v>0</v>
      </c>
      <c r="GM31">
        <f t="shared" si="48"/>
        <v>765.84</v>
      </c>
      <c r="GN31">
        <f t="shared" si="49"/>
        <v>765.84</v>
      </c>
      <c r="GO31">
        <f t="shared" si="50"/>
        <v>0</v>
      </c>
      <c r="GP31">
        <f t="shared" si="51"/>
        <v>0</v>
      </c>
      <c r="GR31">
        <v>0</v>
      </c>
      <c r="GS31">
        <v>3</v>
      </c>
      <c r="GT31">
        <v>0</v>
      </c>
      <c r="GV31">
        <f t="shared" si="52"/>
        <v>0</v>
      </c>
      <c r="GW31">
        <v>1</v>
      </c>
      <c r="GX31">
        <f t="shared" si="53"/>
        <v>0</v>
      </c>
      <c r="HA31">
        <v>0</v>
      </c>
      <c r="HB31">
        <v>0</v>
      </c>
      <c r="HC31">
        <f t="shared" si="54"/>
        <v>0</v>
      </c>
      <c r="IK31">
        <v>0</v>
      </c>
    </row>
    <row r="32" spans="1:245" ht="12.75">
      <c r="A32">
        <v>17</v>
      </c>
      <c r="B32">
        <v>1</v>
      </c>
      <c r="C32">
        <f>ROW(SmtRes!A16)</f>
        <v>16</v>
      </c>
      <c r="D32">
        <f>ROW(EtalonRes!A16)</f>
        <v>16</v>
      </c>
      <c r="E32" t="s">
        <v>46</v>
      </c>
      <c r="F32" t="s">
        <v>47</v>
      </c>
      <c r="G32" t="s">
        <v>48</v>
      </c>
      <c r="H32" t="s">
        <v>49</v>
      </c>
      <c r="I32">
        <f>ROUND(3.8+15.8,9)</f>
        <v>19.6</v>
      </c>
      <c r="J32">
        <v>0</v>
      </c>
      <c r="O32">
        <f t="shared" si="21"/>
        <v>45736.19</v>
      </c>
      <c r="P32">
        <f t="shared" si="22"/>
        <v>0</v>
      </c>
      <c r="Q32">
        <f t="shared" si="23"/>
        <v>5711.64</v>
      </c>
      <c r="R32">
        <f t="shared" si="24"/>
        <v>708.3</v>
      </c>
      <c r="S32">
        <f t="shared" si="25"/>
        <v>40024.55</v>
      </c>
      <c r="T32">
        <f t="shared" si="26"/>
        <v>0</v>
      </c>
      <c r="U32">
        <f t="shared" si="27"/>
        <v>252.056</v>
      </c>
      <c r="V32">
        <f t="shared" si="28"/>
        <v>2.94</v>
      </c>
      <c r="W32">
        <f t="shared" si="29"/>
        <v>0</v>
      </c>
      <c r="X32">
        <f t="shared" si="30"/>
        <v>43176.82</v>
      </c>
      <c r="Y32">
        <f t="shared" si="31"/>
        <v>21995.74</v>
      </c>
      <c r="AA32">
        <v>51669678</v>
      </c>
      <c r="AB32">
        <f t="shared" si="32"/>
        <v>253.2</v>
      </c>
      <c r="AC32">
        <f>ROUND(((ES32*0)),2)</f>
        <v>0</v>
      </c>
      <c r="AD32">
        <f>ROUND((((((ET32*0.8)*1.25))-(((EU32*0.8)*1.25)))+AE32),2)</f>
        <v>45.25</v>
      </c>
      <c r="AE32">
        <f>ROUND((((EU32*0.8)*1.25)),2)</f>
        <v>3.68</v>
      </c>
      <c r="AF32">
        <f>ROUND((((EV32*0.8)*1.25)),2)</f>
        <v>207.95</v>
      </c>
      <c r="AG32">
        <f t="shared" si="33"/>
        <v>0</v>
      </c>
      <c r="AH32">
        <f>(((EW32*0.8)*1.25))</f>
        <v>12.86</v>
      </c>
      <c r="AI32">
        <f>(((EX32*0.8)*1.25))</f>
        <v>0.15</v>
      </c>
      <c r="AJ32">
        <f t="shared" si="34"/>
        <v>0</v>
      </c>
      <c r="AK32">
        <v>377.98</v>
      </c>
      <c r="AL32">
        <v>124.78</v>
      </c>
      <c r="AM32">
        <v>45.25</v>
      </c>
      <c r="AN32">
        <v>3.68</v>
      </c>
      <c r="AO32">
        <v>207.95</v>
      </c>
      <c r="AP32">
        <v>0</v>
      </c>
      <c r="AQ32">
        <v>12.86</v>
      </c>
      <c r="AR32">
        <v>0.15</v>
      </c>
      <c r="AS32">
        <v>0</v>
      </c>
      <c r="AT32">
        <v>106</v>
      </c>
      <c r="AU32">
        <v>54</v>
      </c>
      <c r="AV32">
        <v>1</v>
      </c>
      <c r="AW32">
        <v>1</v>
      </c>
      <c r="AZ32">
        <v>1</v>
      </c>
      <c r="BA32">
        <v>9.82</v>
      </c>
      <c r="BB32">
        <v>6.44</v>
      </c>
      <c r="BC32">
        <v>6.46</v>
      </c>
      <c r="BH32">
        <v>0</v>
      </c>
      <c r="BI32">
        <v>1</v>
      </c>
      <c r="BJ32" t="s">
        <v>50</v>
      </c>
      <c r="BM32">
        <v>10001</v>
      </c>
      <c r="BN32">
        <v>0</v>
      </c>
      <c r="BO32" t="s">
        <v>47</v>
      </c>
      <c r="BP32">
        <v>1</v>
      </c>
      <c r="BQ32">
        <v>2</v>
      </c>
      <c r="BR32">
        <v>0</v>
      </c>
      <c r="BS32">
        <v>9.82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118</v>
      </c>
      <c r="CA32">
        <v>63</v>
      </c>
      <c r="CE32">
        <v>0</v>
      </c>
      <c r="CF32">
        <v>0</v>
      </c>
      <c r="CG32">
        <v>0</v>
      </c>
      <c r="CM32">
        <v>0</v>
      </c>
      <c r="CN32" t="s">
        <v>719</v>
      </c>
      <c r="CO32">
        <v>0</v>
      </c>
      <c r="CP32">
        <f t="shared" si="35"/>
        <v>45736.19</v>
      </c>
      <c r="CQ32">
        <f t="shared" si="36"/>
        <v>0</v>
      </c>
      <c r="CR32">
        <f t="shared" si="37"/>
        <v>291.41</v>
      </c>
      <c r="CS32">
        <f t="shared" si="38"/>
        <v>36.137600000000006</v>
      </c>
      <c r="CT32">
        <f t="shared" si="39"/>
        <v>2042.069</v>
      </c>
      <c r="CU32">
        <f t="shared" si="40"/>
        <v>0</v>
      </c>
      <c r="CV32">
        <f t="shared" si="41"/>
        <v>12.86</v>
      </c>
      <c r="CW32">
        <f t="shared" si="42"/>
        <v>0.15</v>
      </c>
      <c r="CX32">
        <f t="shared" si="43"/>
        <v>0</v>
      </c>
      <c r="CY32">
        <f t="shared" si="44"/>
        <v>43176.821</v>
      </c>
      <c r="CZ32">
        <f t="shared" si="45"/>
        <v>21995.739000000005</v>
      </c>
      <c r="DD32" t="s">
        <v>51</v>
      </c>
      <c r="DE32" t="s">
        <v>52</v>
      </c>
      <c r="DF32" t="s">
        <v>52</v>
      </c>
      <c r="DG32" t="s">
        <v>52</v>
      </c>
      <c r="DI32" t="s">
        <v>52</v>
      </c>
      <c r="DJ32" t="s">
        <v>52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49</v>
      </c>
      <c r="DW32" t="s">
        <v>49</v>
      </c>
      <c r="DX32">
        <v>1</v>
      </c>
      <c r="EE32">
        <v>48034388</v>
      </c>
      <c r="EF32">
        <v>2</v>
      </c>
      <c r="EG32" t="s">
        <v>20</v>
      </c>
      <c r="EH32">
        <v>0</v>
      </c>
      <c r="EJ32">
        <v>1</v>
      </c>
      <c r="EK32">
        <v>10001</v>
      </c>
      <c r="EL32" t="s">
        <v>53</v>
      </c>
      <c r="EM32" t="s">
        <v>54</v>
      </c>
      <c r="EO32" t="s">
        <v>55</v>
      </c>
      <c r="EQ32">
        <v>131584</v>
      </c>
      <c r="ER32">
        <v>377.98</v>
      </c>
      <c r="ES32">
        <v>124.78</v>
      </c>
      <c r="ET32">
        <v>45.25</v>
      </c>
      <c r="EU32">
        <v>3.68</v>
      </c>
      <c r="EV32">
        <v>207.95</v>
      </c>
      <c r="EW32">
        <v>12.86</v>
      </c>
      <c r="EX32">
        <v>0.15</v>
      </c>
      <c r="EY32">
        <v>0</v>
      </c>
      <c r="FQ32">
        <v>0</v>
      </c>
      <c r="FR32">
        <f t="shared" si="46"/>
        <v>0</v>
      </c>
      <c r="FS32">
        <v>0</v>
      </c>
      <c r="FT32" t="s">
        <v>24</v>
      </c>
      <c r="FU32" t="s">
        <v>25</v>
      </c>
      <c r="FX32">
        <v>106.2</v>
      </c>
      <c r="FY32">
        <v>53.55</v>
      </c>
      <c r="GD32">
        <v>1</v>
      </c>
      <c r="GF32">
        <v>-397485276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si="47"/>
        <v>0</v>
      </c>
      <c r="GM32">
        <f t="shared" si="48"/>
        <v>110908.75</v>
      </c>
      <c r="GN32">
        <f t="shared" si="49"/>
        <v>110908.75</v>
      </c>
      <c r="GO32">
        <f t="shared" si="50"/>
        <v>0</v>
      </c>
      <c r="GP32">
        <f t="shared" si="51"/>
        <v>0</v>
      </c>
      <c r="GR32">
        <v>0</v>
      </c>
      <c r="GS32">
        <v>3</v>
      </c>
      <c r="GT32">
        <v>0</v>
      </c>
      <c r="GV32">
        <f t="shared" si="52"/>
        <v>0</v>
      </c>
      <c r="GW32">
        <v>1</v>
      </c>
      <c r="GX32">
        <f t="shared" si="53"/>
        <v>0</v>
      </c>
      <c r="HA32">
        <v>0</v>
      </c>
      <c r="HB32">
        <v>0</v>
      </c>
      <c r="HC32">
        <f t="shared" si="54"/>
        <v>0</v>
      </c>
      <c r="IK32">
        <v>0</v>
      </c>
    </row>
    <row r="33" spans="1:245" ht="12.75">
      <c r="A33">
        <v>17</v>
      </c>
      <c r="B33">
        <v>1</v>
      </c>
      <c r="C33">
        <f>ROW(SmtRes!A19)</f>
        <v>19</v>
      </c>
      <c r="D33">
        <f>ROW(EtalonRes!A19)</f>
        <v>19</v>
      </c>
      <c r="E33" t="s">
        <v>56</v>
      </c>
      <c r="F33" t="s">
        <v>57</v>
      </c>
      <c r="G33" t="s">
        <v>58</v>
      </c>
      <c r="H33" t="s">
        <v>59</v>
      </c>
      <c r="I33">
        <v>5.6</v>
      </c>
      <c r="J33">
        <v>0</v>
      </c>
      <c r="O33">
        <f t="shared" si="21"/>
        <v>9373.52</v>
      </c>
      <c r="P33">
        <f t="shared" si="22"/>
        <v>0</v>
      </c>
      <c r="Q33">
        <f t="shared" si="23"/>
        <v>9.48</v>
      </c>
      <c r="R33">
        <f t="shared" si="24"/>
        <v>0</v>
      </c>
      <c r="S33">
        <f t="shared" si="25"/>
        <v>9364.04</v>
      </c>
      <c r="T33">
        <f t="shared" si="26"/>
        <v>0</v>
      </c>
      <c r="U33">
        <f t="shared" si="27"/>
        <v>64.47</v>
      </c>
      <c r="V33">
        <f t="shared" si="28"/>
        <v>0</v>
      </c>
      <c r="W33">
        <f t="shared" si="29"/>
        <v>0</v>
      </c>
      <c r="X33">
        <f t="shared" si="30"/>
        <v>7772.15</v>
      </c>
      <c r="Y33">
        <f t="shared" si="31"/>
        <v>6086.63</v>
      </c>
      <c r="AA33">
        <v>51669678</v>
      </c>
      <c r="AB33">
        <f t="shared" si="32"/>
        <v>170.52</v>
      </c>
      <c r="AC33">
        <f>ROUND((ES33),2)</f>
        <v>0</v>
      </c>
      <c r="AD33">
        <f>ROUND(((((ET33*1.25))-((EU33*1.25)))+AE33),2)</f>
        <v>0.24</v>
      </c>
      <c r="AE33">
        <f>ROUND(((EU33*1.25)),2)</f>
        <v>0</v>
      </c>
      <c r="AF33">
        <f>ROUND(((EV33*1.25)),2)</f>
        <v>170.28</v>
      </c>
      <c r="AG33">
        <f t="shared" si="33"/>
        <v>0</v>
      </c>
      <c r="AH33">
        <f>((EW33*1.25))</f>
        <v>11.512500000000001</v>
      </c>
      <c r="AI33">
        <f>((EX33*1.25))</f>
        <v>0</v>
      </c>
      <c r="AJ33">
        <f t="shared" si="34"/>
        <v>0</v>
      </c>
      <c r="AK33">
        <v>136.41</v>
      </c>
      <c r="AL33">
        <v>0</v>
      </c>
      <c r="AM33">
        <v>0.19</v>
      </c>
      <c r="AN33">
        <v>0</v>
      </c>
      <c r="AO33">
        <v>136.22</v>
      </c>
      <c r="AP33">
        <v>0</v>
      </c>
      <c r="AQ33">
        <v>9.21</v>
      </c>
      <c r="AR33">
        <v>0</v>
      </c>
      <c r="AS33">
        <v>0</v>
      </c>
      <c r="AT33">
        <v>83</v>
      </c>
      <c r="AU33">
        <v>65</v>
      </c>
      <c r="AV33">
        <v>1</v>
      </c>
      <c r="AW33">
        <v>1</v>
      </c>
      <c r="AZ33">
        <v>1</v>
      </c>
      <c r="BA33">
        <v>9.82</v>
      </c>
      <c r="BB33">
        <v>7.05</v>
      </c>
      <c r="BC33">
        <v>1</v>
      </c>
      <c r="BH33">
        <v>0</v>
      </c>
      <c r="BI33">
        <v>1</v>
      </c>
      <c r="BJ33" t="s">
        <v>60</v>
      </c>
      <c r="BM33">
        <v>58001</v>
      </c>
      <c r="BN33">
        <v>0</v>
      </c>
      <c r="BO33" t="s">
        <v>57</v>
      </c>
      <c r="BP33">
        <v>1</v>
      </c>
      <c r="BQ33">
        <v>6</v>
      </c>
      <c r="BR33">
        <v>0</v>
      </c>
      <c r="BS33">
        <v>9.82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83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18</v>
      </c>
      <c r="CO33">
        <v>0</v>
      </c>
      <c r="CP33">
        <f t="shared" si="35"/>
        <v>9373.52</v>
      </c>
      <c r="CQ33">
        <f t="shared" si="36"/>
        <v>0</v>
      </c>
      <c r="CR33">
        <f t="shared" si="37"/>
        <v>1.692</v>
      </c>
      <c r="CS33">
        <f t="shared" si="38"/>
        <v>0</v>
      </c>
      <c r="CT33">
        <f t="shared" si="39"/>
        <v>1672.1496</v>
      </c>
      <c r="CU33">
        <f t="shared" si="40"/>
        <v>0</v>
      </c>
      <c r="CV33">
        <f t="shared" si="41"/>
        <v>11.512500000000001</v>
      </c>
      <c r="CW33">
        <f t="shared" si="42"/>
        <v>0</v>
      </c>
      <c r="CX33">
        <f t="shared" si="43"/>
        <v>0</v>
      </c>
      <c r="CY33">
        <f t="shared" si="44"/>
        <v>7772.153200000001</v>
      </c>
      <c r="CZ33">
        <f t="shared" si="45"/>
        <v>6086.626000000001</v>
      </c>
      <c r="DE33" t="s">
        <v>19</v>
      </c>
      <c r="DF33" t="s">
        <v>19</v>
      </c>
      <c r="DG33" t="s">
        <v>19</v>
      </c>
      <c r="DI33" t="s">
        <v>19</v>
      </c>
      <c r="DJ33" t="s">
        <v>19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59</v>
      </c>
      <c r="DW33" t="s">
        <v>59</v>
      </c>
      <c r="DX33">
        <v>1</v>
      </c>
      <c r="EE33">
        <v>48034468</v>
      </c>
      <c r="EF33">
        <v>6</v>
      </c>
      <c r="EG33" t="s">
        <v>31</v>
      </c>
      <c r="EH33">
        <v>0</v>
      </c>
      <c r="EJ33">
        <v>1</v>
      </c>
      <c r="EK33">
        <v>58001</v>
      </c>
      <c r="EL33" t="s">
        <v>32</v>
      </c>
      <c r="EM33" t="s">
        <v>33</v>
      </c>
      <c r="EO33" t="s">
        <v>23</v>
      </c>
      <c r="EQ33">
        <v>131584</v>
      </c>
      <c r="ER33">
        <v>136.41</v>
      </c>
      <c r="ES33">
        <v>0</v>
      </c>
      <c r="ET33">
        <v>0.19</v>
      </c>
      <c r="EU33">
        <v>0</v>
      </c>
      <c r="EV33">
        <v>136.22</v>
      </c>
      <c r="EW33">
        <v>9.21</v>
      </c>
      <c r="EX33">
        <v>0</v>
      </c>
      <c r="EY33">
        <v>0</v>
      </c>
      <c r="FQ33">
        <v>0</v>
      </c>
      <c r="FR33">
        <f t="shared" si="46"/>
        <v>0</v>
      </c>
      <c r="FS33">
        <v>0</v>
      </c>
      <c r="FX33">
        <v>83</v>
      </c>
      <c r="FY33">
        <v>65</v>
      </c>
      <c r="GD33">
        <v>1</v>
      </c>
      <c r="GF33">
        <v>-1759892014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47"/>
        <v>0</v>
      </c>
      <c r="GM33">
        <f t="shared" si="48"/>
        <v>23232.3</v>
      </c>
      <c r="GN33">
        <f t="shared" si="49"/>
        <v>23232.3</v>
      </c>
      <c r="GO33">
        <f t="shared" si="50"/>
        <v>0</v>
      </c>
      <c r="GP33">
        <f t="shared" si="51"/>
        <v>0</v>
      </c>
      <c r="GR33">
        <v>0</v>
      </c>
      <c r="GS33">
        <v>3</v>
      </c>
      <c r="GT33">
        <v>0</v>
      </c>
      <c r="GV33">
        <f t="shared" si="52"/>
        <v>0</v>
      </c>
      <c r="GW33">
        <v>1</v>
      </c>
      <c r="GX33">
        <f t="shared" si="53"/>
        <v>0</v>
      </c>
      <c r="HA33">
        <v>0</v>
      </c>
      <c r="HB33">
        <v>0</v>
      </c>
      <c r="HC33">
        <f t="shared" si="54"/>
        <v>0</v>
      </c>
      <c r="IK33">
        <v>0</v>
      </c>
    </row>
    <row r="34" spans="1:245" ht="12.75">
      <c r="A34">
        <v>18</v>
      </c>
      <c r="B34">
        <v>1</v>
      </c>
      <c r="C34">
        <v>19</v>
      </c>
      <c r="E34" t="s">
        <v>61</v>
      </c>
      <c r="F34" t="s">
        <v>35</v>
      </c>
      <c r="G34" t="s">
        <v>36</v>
      </c>
      <c r="H34" t="s">
        <v>37</v>
      </c>
      <c r="I34">
        <f>I33*J34</f>
        <v>0.56</v>
      </c>
      <c r="J34">
        <v>0.10000000000000002</v>
      </c>
      <c r="O34">
        <f t="shared" si="21"/>
        <v>0</v>
      </c>
      <c r="P34">
        <f t="shared" si="22"/>
        <v>0</v>
      </c>
      <c r="Q34">
        <f t="shared" si="23"/>
        <v>0</v>
      </c>
      <c r="R34">
        <f t="shared" si="24"/>
        <v>0</v>
      </c>
      <c r="S34">
        <f t="shared" si="25"/>
        <v>0</v>
      </c>
      <c r="T34">
        <f t="shared" si="26"/>
        <v>0</v>
      </c>
      <c r="U34">
        <f t="shared" si="27"/>
        <v>0</v>
      </c>
      <c r="V34">
        <f t="shared" si="28"/>
        <v>0</v>
      </c>
      <c r="W34">
        <f t="shared" si="29"/>
        <v>0</v>
      </c>
      <c r="X34">
        <f t="shared" si="30"/>
        <v>0</v>
      </c>
      <c r="Y34">
        <f t="shared" si="31"/>
        <v>0</v>
      </c>
      <c r="AA34">
        <v>51669678</v>
      </c>
      <c r="AB34">
        <f t="shared" si="32"/>
        <v>0</v>
      </c>
      <c r="AC34">
        <f>ROUND((ES34),2)</f>
        <v>0</v>
      </c>
      <c r="AD34">
        <f>ROUND((((ET34)-(EU34))+AE34),2)</f>
        <v>0</v>
      </c>
      <c r="AE34">
        <f>ROUND((EU34),2)</f>
        <v>0</v>
      </c>
      <c r="AF34">
        <f>ROUND((EV34),2)</f>
        <v>0</v>
      </c>
      <c r="AG34">
        <f t="shared" si="33"/>
        <v>0</v>
      </c>
      <c r="AH34">
        <f>(EW34)</f>
        <v>0</v>
      </c>
      <c r="AI34">
        <f>(EX34)</f>
        <v>0</v>
      </c>
      <c r="AJ34">
        <f t="shared" si="34"/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2</v>
      </c>
      <c r="BJ34" t="s">
        <v>38</v>
      </c>
      <c r="BM34">
        <v>500002</v>
      </c>
      <c r="BN34">
        <v>0</v>
      </c>
      <c r="BP34">
        <v>0</v>
      </c>
      <c r="BQ34">
        <v>12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E34">
        <v>0</v>
      </c>
      <c r="CF34">
        <v>0</v>
      </c>
      <c r="CG34">
        <v>0</v>
      </c>
      <c r="CM34">
        <v>0</v>
      </c>
      <c r="CO34">
        <v>0</v>
      </c>
      <c r="CP34">
        <f t="shared" si="35"/>
        <v>0</v>
      </c>
      <c r="CQ34">
        <f t="shared" si="36"/>
        <v>0</v>
      </c>
      <c r="CR34">
        <f t="shared" si="37"/>
        <v>0</v>
      </c>
      <c r="CS34">
        <f t="shared" si="38"/>
        <v>0</v>
      </c>
      <c r="CT34">
        <f t="shared" si="39"/>
        <v>0</v>
      </c>
      <c r="CU34">
        <f t="shared" si="40"/>
        <v>0</v>
      </c>
      <c r="CV34">
        <f t="shared" si="41"/>
        <v>0</v>
      </c>
      <c r="CW34">
        <f t="shared" si="42"/>
        <v>0</v>
      </c>
      <c r="CX34">
        <f t="shared" si="43"/>
        <v>0</v>
      </c>
      <c r="CY34">
        <f t="shared" si="44"/>
        <v>0</v>
      </c>
      <c r="CZ34">
        <f t="shared" si="45"/>
        <v>0</v>
      </c>
      <c r="DN34">
        <v>0</v>
      </c>
      <c r="DO34">
        <v>0</v>
      </c>
      <c r="DP34">
        <v>1</v>
      </c>
      <c r="DQ34">
        <v>1</v>
      </c>
      <c r="DU34">
        <v>1009</v>
      </c>
      <c r="DV34" t="s">
        <v>37</v>
      </c>
      <c r="DW34" t="s">
        <v>37</v>
      </c>
      <c r="DX34">
        <v>1000</v>
      </c>
      <c r="EE34">
        <v>48034322</v>
      </c>
      <c r="EF34">
        <v>12</v>
      </c>
      <c r="EG34" t="s">
        <v>39</v>
      </c>
      <c r="EH34">
        <v>0</v>
      </c>
      <c r="EJ34">
        <v>2</v>
      </c>
      <c r="EK34">
        <v>500002</v>
      </c>
      <c r="EL34" t="s">
        <v>40</v>
      </c>
      <c r="EM34" t="s">
        <v>41</v>
      </c>
      <c r="EQ34">
        <v>512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6"/>
        <v>0</v>
      </c>
      <c r="FS34">
        <v>0</v>
      </c>
      <c r="FX34">
        <v>0</v>
      </c>
      <c r="FY34">
        <v>0</v>
      </c>
      <c r="GD34">
        <v>1</v>
      </c>
      <c r="GF34">
        <v>-182198044</v>
      </c>
      <c r="GG34">
        <v>2</v>
      </c>
      <c r="GH34">
        <v>1</v>
      </c>
      <c r="GI34">
        <v>-2</v>
      </c>
      <c r="GJ34">
        <v>0</v>
      </c>
      <c r="GK34">
        <v>0</v>
      </c>
      <c r="GL34">
        <f t="shared" si="47"/>
        <v>0</v>
      </c>
      <c r="GM34">
        <f t="shared" si="48"/>
        <v>0</v>
      </c>
      <c r="GN34">
        <f t="shared" si="49"/>
        <v>0</v>
      </c>
      <c r="GO34">
        <f t="shared" si="50"/>
        <v>0</v>
      </c>
      <c r="GP34">
        <f t="shared" si="51"/>
        <v>0</v>
      </c>
      <c r="GR34">
        <v>0</v>
      </c>
      <c r="GS34">
        <v>3</v>
      </c>
      <c r="GT34">
        <v>0</v>
      </c>
      <c r="GV34">
        <f t="shared" si="52"/>
        <v>0</v>
      </c>
      <c r="GW34">
        <v>1</v>
      </c>
      <c r="GX34">
        <f t="shared" si="53"/>
        <v>0</v>
      </c>
      <c r="HA34">
        <v>0</v>
      </c>
      <c r="HB34">
        <v>0</v>
      </c>
      <c r="HC34">
        <f t="shared" si="54"/>
        <v>0</v>
      </c>
      <c r="IK34">
        <v>0</v>
      </c>
    </row>
    <row r="35" spans="1:245" ht="12.75">
      <c r="A35">
        <v>17</v>
      </c>
      <c r="B35">
        <v>1</v>
      </c>
      <c r="C35">
        <f>ROW(SmtRes!A24)</f>
        <v>24</v>
      </c>
      <c r="D35">
        <f>ROW(EtalonRes!A24)</f>
        <v>24</v>
      </c>
      <c r="E35" t="s">
        <v>62</v>
      </c>
      <c r="F35" t="s">
        <v>63</v>
      </c>
      <c r="G35" t="s">
        <v>64</v>
      </c>
      <c r="H35" t="s">
        <v>65</v>
      </c>
      <c r="I35">
        <v>0.99</v>
      </c>
      <c r="J35">
        <v>0</v>
      </c>
      <c r="O35">
        <f t="shared" si="21"/>
        <v>3895</v>
      </c>
      <c r="P35">
        <f t="shared" si="22"/>
        <v>216.76</v>
      </c>
      <c r="Q35">
        <f t="shared" si="23"/>
        <v>3.59</v>
      </c>
      <c r="R35">
        <f t="shared" si="24"/>
        <v>3.01</v>
      </c>
      <c r="S35">
        <f t="shared" si="25"/>
        <v>3674.65</v>
      </c>
      <c r="T35">
        <f t="shared" si="26"/>
        <v>0</v>
      </c>
      <c r="U35">
        <f t="shared" si="27"/>
        <v>23.14125</v>
      </c>
      <c r="V35">
        <f t="shared" si="28"/>
        <v>0.012375</v>
      </c>
      <c r="W35">
        <f t="shared" si="29"/>
        <v>0</v>
      </c>
      <c r="X35">
        <f t="shared" si="30"/>
        <v>2721.47</v>
      </c>
      <c r="Y35">
        <f t="shared" si="31"/>
        <v>1838.83</v>
      </c>
      <c r="AA35">
        <v>51669678</v>
      </c>
      <c r="AB35">
        <f t="shared" si="32"/>
        <v>414.16</v>
      </c>
      <c r="AC35">
        <f>ROUND((ES35),2)</f>
        <v>35.66</v>
      </c>
      <c r="AD35">
        <f>ROUND(((((ET35*1.25))-((EU35*1.25)))+AE35),2)</f>
        <v>0.52</v>
      </c>
      <c r="AE35">
        <f>ROUND(((EU35*1.25)),2)</f>
        <v>0.31</v>
      </c>
      <c r="AF35">
        <f>ROUND(((EV35*1.25)),2)</f>
        <v>377.98</v>
      </c>
      <c r="AG35">
        <f t="shared" si="33"/>
        <v>0</v>
      </c>
      <c r="AH35">
        <f>((EW35*1.25))</f>
        <v>23.375</v>
      </c>
      <c r="AI35">
        <f>((EX35*1.25))</f>
        <v>0.0125</v>
      </c>
      <c r="AJ35">
        <f t="shared" si="34"/>
        <v>0</v>
      </c>
      <c r="AK35">
        <v>338.46</v>
      </c>
      <c r="AL35">
        <v>35.66</v>
      </c>
      <c r="AM35">
        <v>0.42</v>
      </c>
      <c r="AN35">
        <v>0.25</v>
      </c>
      <c r="AO35">
        <v>302.38</v>
      </c>
      <c r="AP35">
        <v>0</v>
      </c>
      <c r="AQ35">
        <v>18.7</v>
      </c>
      <c r="AR35">
        <v>0.01</v>
      </c>
      <c r="AS35">
        <v>0</v>
      </c>
      <c r="AT35">
        <v>74</v>
      </c>
      <c r="AU35">
        <v>50</v>
      </c>
      <c r="AV35">
        <v>1</v>
      </c>
      <c r="AW35">
        <v>1</v>
      </c>
      <c r="AZ35">
        <v>1</v>
      </c>
      <c r="BA35">
        <v>9.82</v>
      </c>
      <c r="BB35">
        <v>6.97</v>
      </c>
      <c r="BC35">
        <v>6.14</v>
      </c>
      <c r="BH35">
        <v>0</v>
      </c>
      <c r="BI35">
        <v>1</v>
      </c>
      <c r="BJ35" t="s">
        <v>66</v>
      </c>
      <c r="BM35">
        <v>65006</v>
      </c>
      <c r="BN35">
        <v>0</v>
      </c>
      <c r="BO35" t="s">
        <v>63</v>
      </c>
      <c r="BP35">
        <v>1</v>
      </c>
      <c r="BQ35">
        <v>6</v>
      </c>
      <c r="BR35">
        <v>0</v>
      </c>
      <c r="BS35">
        <v>9.82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74</v>
      </c>
      <c r="CA35">
        <v>50</v>
      </c>
      <c r="CE35">
        <v>0</v>
      </c>
      <c r="CF35">
        <v>0</v>
      </c>
      <c r="CG35">
        <v>0</v>
      </c>
      <c r="CM35">
        <v>0</v>
      </c>
      <c r="CN35" t="s">
        <v>18</v>
      </c>
      <c r="CO35">
        <v>0</v>
      </c>
      <c r="CP35">
        <f t="shared" si="35"/>
        <v>3895</v>
      </c>
      <c r="CQ35">
        <f t="shared" si="36"/>
        <v>218.95239999999995</v>
      </c>
      <c r="CR35">
        <f t="shared" si="37"/>
        <v>3.6244</v>
      </c>
      <c r="CS35">
        <f t="shared" si="38"/>
        <v>3.0442</v>
      </c>
      <c r="CT35">
        <f t="shared" si="39"/>
        <v>3711.7636</v>
      </c>
      <c r="CU35">
        <f t="shared" si="40"/>
        <v>0</v>
      </c>
      <c r="CV35">
        <f t="shared" si="41"/>
        <v>23.375</v>
      </c>
      <c r="CW35">
        <f t="shared" si="42"/>
        <v>0.0125</v>
      </c>
      <c r="CX35">
        <f t="shared" si="43"/>
        <v>0</v>
      </c>
      <c r="CY35">
        <f t="shared" si="44"/>
        <v>2721.4684</v>
      </c>
      <c r="CZ35">
        <f t="shared" si="45"/>
        <v>1838.8300000000004</v>
      </c>
      <c r="DE35" t="s">
        <v>19</v>
      </c>
      <c r="DF35" t="s">
        <v>19</v>
      </c>
      <c r="DG35" t="s">
        <v>19</v>
      </c>
      <c r="DI35" t="s">
        <v>19</v>
      </c>
      <c r="DJ35" t="s">
        <v>19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65</v>
      </c>
      <c r="DW35" t="s">
        <v>65</v>
      </c>
      <c r="DX35">
        <v>1</v>
      </c>
      <c r="EE35">
        <v>48034486</v>
      </c>
      <c r="EF35">
        <v>6</v>
      </c>
      <c r="EG35" t="s">
        <v>31</v>
      </c>
      <c r="EH35">
        <v>0</v>
      </c>
      <c r="EJ35">
        <v>1</v>
      </c>
      <c r="EK35">
        <v>65006</v>
      </c>
      <c r="EL35" t="s">
        <v>67</v>
      </c>
      <c r="EM35" t="s">
        <v>68</v>
      </c>
      <c r="EO35" t="s">
        <v>23</v>
      </c>
      <c r="EQ35">
        <v>131584</v>
      </c>
      <c r="ER35">
        <v>338.46</v>
      </c>
      <c r="ES35">
        <v>35.66</v>
      </c>
      <c r="ET35">
        <v>0.42</v>
      </c>
      <c r="EU35">
        <v>0.25</v>
      </c>
      <c r="EV35">
        <v>302.38</v>
      </c>
      <c r="EW35">
        <v>18.7</v>
      </c>
      <c r="EX35">
        <v>0.01</v>
      </c>
      <c r="EY35">
        <v>0</v>
      </c>
      <c r="FQ35">
        <v>0</v>
      </c>
      <c r="FR35">
        <f t="shared" si="46"/>
        <v>0</v>
      </c>
      <c r="FS35">
        <v>0</v>
      </c>
      <c r="FX35">
        <v>74</v>
      </c>
      <c r="FY35">
        <v>50</v>
      </c>
      <c r="GD35">
        <v>1</v>
      </c>
      <c r="GF35">
        <v>521634964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47"/>
        <v>0</v>
      </c>
      <c r="GM35">
        <f t="shared" si="48"/>
        <v>8455.3</v>
      </c>
      <c r="GN35">
        <f t="shared" si="49"/>
        <v>8455.3</v>
      </c>
      <c r="GO35">
        <f t="shared" si="50"/>
        <v>0</v>
      </c>
      <c r="GP35">
        <f t="shared" si="51"/>
        <v>0</v>
      </c>
      <c r="GR35">
        <v>0</v>
      </c>
      <c r="GS35">
        <v>3</v>
      </c>
      <c r="GT35">
        <v>0</v>
      </c>
      <c r="GV35">
        <f t="shared" si="52"/>
        <v>0</v>
      </c>
      <c r="GW35">
        <v>1</v>
      </c>
      <c r="GX35">
        <f t="shared" si="53"/>
        <v>0</v>
      </c>
      <c r="HA35">
        <v>0</v>
      </c>
      <c r="HB35">
        <v>0</v>
      </c>
      <c r="HC35">
        <f t="shared" si="54"/>
        <v>0</v>
      </c>
      <c r="IK35">
        <v>0</v>
      </c>
    </row>
    <row r="36" spans="1:245" ht="12.75">
      <c r="A36">
        <v>17</v>
      </c>
      <c r="B36">
        <v>1</v>
      </c>
      <c r="C36">
        <f>ROW(SmtRes!A30)</f>
        <v>30</v>
      </c>
      <c r="D36">
        <f>ROW(EtalonRes!A30)</f>
        <v>30</v>
      </c>
      <c r="E36" t="s">
        <v>69</v>
      </c>
      <c r="F36" t="s">
        <v>70</v>
      </c>
      <c r="G36" t="s">
        <v>71</v>
      </c>
      <c r="H36" t="s">
        <v>72</v>
      </c>
      <c r="I36">
        <v>62</v>
      </c>
      <c r="J36">
        <v>0</v>
      </c>
      <c r="O36">
        <f t="shared" si="21"/>
        <v>111263.33</v>
      </c>
      <c r="P36">
        <f t="shared" si="22"/>
        <v>0</v>
      </c>
      <c r="Q36">
        <f t="shared" si="23"/>
        <v>18683.12</v>
      </c>
      <c r="R36">
        <f t="shared" si="24"/>
        <v>0</v>
      </c>
      <c r="S36">
        <f t="shared" si="25"/>
        <v>92580.21</v>
      </c>
      <c r="T36">
        <f t="shared" si="26"/>
        <v>0</v>
      </c>
      <c r="U36">
        <f t="shared" si="27"/>
        <v>528.7608</v>
      </c>
      <c r="V36">
        <f t="shared" si="28"/>
        <v>0</v>
      </c>
      <c r="W36">
        <f t="shared" si="29"/>
        <v>0</v>
      </c>
      <c r="X36">
        <f t="shared" si="30"/>
        <v>83322.19</v>
      </c>
      <c r="Y36">
        <f t="shared" si="31"/>
        <v>55548.13</v>
      </c>
      <c r="AA36">
        <v>51669678</v>
      </c>
      <c r="AB36">
        <f t="shared" si="32"/>
        <v>204.65</v>
      </c>
      <c r="AC36">
        <f>ROUND(((ES36*0)),2)</f>
        <v>0</v>
      </c>
      <c r="AD36">
        <f>ROUND((((((ET36*1.25)*0.8))-(((EU36*1.25)*0.8)))+AE36),2)</f>
        <v>52.59</v>
      </c>
      <c r="AE36">
        <f>ROUND((((EU36*1.25)*0.8)),2)</f>
        <v>0</v>
      </c>
      <c r="AF36">
        <f>ROUND((((EV36*1.15)*0.8)),2)</f>
        <v>152.06</v>
      </c>
      <c r="AG36">
        <f t="shared" si="33"/>
        <v>0</v>
      </c>
      <c r="AH36">
        <f>(((EW36*1.15)*0.8))</f>
        <v>8.5284</v>
      </c>
      <c r="AI36">
        <f>(((EX36*1.25)*0.8))</f>
        <v>0</v>
      </c>
      <c r="AJ36">
        <f t="shared" si="34"/>
        <v>0</v>
      </c>
      <c r="AK36">
        <v>1209.81</v>
      </c>
      <c r="AL36">
        <v>991.94</v>
      </c>
      <c r="AM36">
        <v>52.59</v>
      </c>
      <c r="AN36">
        <v>0</v>
      </c>
      <c r="AO36">
        <v>165.28</v>
      </c>
      <c r="AP36">
        <v>0</v>
      </c>
      <c r="AQ36">
        <v>9.27</v>
      </c>
      <c r="AR36">
        <v>0</v>
      </c>
      <c r="AS36">
        <v>0</v>
      </c>
      <c r="AT36">
        <v>90</v>
      </c>
      <c r="AU36">
        <v>60</v>
      </c>
      <c r="AV36">
        <v>1</v>
      </c>
      <c r="AW36">
        <v>1</v>
      </c>
      <c r="AZ36">
        <v>1</v>
      </c>
      <c r="BA36">
        <v>9.82</v>
      </c>
      <c r="BB36">
        <v>5.73</v>
      </c>
      <c r="BC36">
        <v>5.13</v>
      </c>
      <c r="BH36">
        <v>0</v>
      </c>
      <c r="BI36">
        <v>1</v>
      </c>
      <c r="BJ36" t="s">
        <v>73</v>
      </c>
      <c r="BM36">
        <v>26001</v>
      </c>
      <c r="BN36">
        <v>0</v>
      </c>
      <c r="BO36" t="s">
        <v>70</v>
      </c>
      <c r="BP36">
        <v>1</v>
      </c>
      <c r="BQ36">
        <v>2</v>
      </c>
      <c r="BR36">
        <v>0</v>
      </c>
      <c r="BS36">
        <v>9.82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100</v>
      </c>
      <c r="CA36">
        <v>70</v>
      </c>
      <c r="CE36">
        <v>0</v>
      </c>
      <c r="CF36">
        <v>0</v>
      </c>
      <c r="CG36">
        <v>0</v>
      </c>
      <c r="CM36">
        <v>0</v>
      </c>
      <c r="CN36" t="s">
        <v>720</v>
      </c>
      <c r="CO36">
        <v>0</v>
      </c>
      <c r="CP36">
        <f t="shared" si="35"/>
        <v>111263.33</v>
      </c>
      <c r="CQ36">
        <f t="shared" si="36"/>
        <v>0</v>
      </c>
      <c r="CR36">
        <f t="shared" si="37"/>
        <v>301.3407</v>
      </c>
      <c r="CS36">
        <f t="shared" si="38"/>
        <v>0</v>
      </c>
      <c r="CT36">
        <f t="shared" si="39"/>
        <v>1493.2292</v>
      </c>
      <c r="CU36">
        <f t="shared" si="40"/>
        <v>0</v>
      </c>
      <c r="CV36">
        <f t="shared" si="41"/>
        <v>8.5284</v>
      </c>
      <c r="CW36">
        <f t="shared" si="42"/>
        <v>0</v>
      </c>
      <c r="CX36">
        <f t="shared" si="43"/>
        <v>0</v>
      </c>
      <c r="CY36">
        <f t="shared" si="44"/>
        <v>83322.189</v>
      </c>
      <c r="CZ36">
        <f t="shared" si="45"/>
        <v>55548.126000000004</v>
      </c>
      <c r="DD36" t="s">
        <v>51</v>
      </c>
      <c r="DE36" t="s">
        <v>74</v>
      </c>
      <c r="DF36" t="s">
        <v>74</v>
      </c>
      <c r="DG36" t="s">
        <v>75</v>
      </c>
      <c r="DI36" t="s">
        <v>75</v>
      </c>
      <c r="DJ36" t="s">
        <v>74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72</v>
      </c>
      <c r="DW36" t="s">
        <v>72</v>
      </c>
      <c r="DX36">
        <v>1</v>
      </c>
      <c r="EE36">
        <v>48034428</v>
      </c>
      <c r="EF36">
        <v>2</v>
      </c>
      <c r="EG36" t="s">
        <v>20</v>
      </c>
      <c r="EH36">
        <v>0</v>
      </c>
      <c r="EJ36">
        <v>1</v>
      </c>
      <c r="EK36">
        <v>26001</v>
      </c>
      <c r="EL36" t="s">
        <v>76</v>
      </c>
      <c r="EM36" t="s">
        <v>77</v>
      </c>
      <c r="EO36" t="s">
        <v>78</v>
      </c>
      <c r="EQ36">
        <v>512</v>
      </c>
      <c r="ER36">
        <v>1209.81</v>
      </c>
      <c r="ES36">
        <v>991.94</v>
      </c>
      <c r="ET36">
        <v>52.59</v>
      </c>
      <c r="EU36">
        <v>0</v>
      </c>
      <c r="EV36">
        <v>165.28</v>
      </c>
      <c r="EW36">
        <v>9.27</v>
      </c>
      <c r="EX36">
        <v>0</v>
      </c>
      <c r="EY36">
        <v>0</v>
      </c>
      <c r="FQ36">
        <v>0</v>
      </c>
      <c r="FR36">
        <f t="shared" si="46"/>
        <v>0</v>
      </c>
      <c r="FS36">
        <v>0</v>
      </c>
      <c r="FT36" t="s">
        <v>24</v>
      </c>
      <c r="FU36" t="s">
        <v>25</v>
      </c>
      <c r="FX36">
        <v>90</v>
      </c>
      <c r="FY36">
        <v>59.5</v>
      </c>
      <c r="GD36">
        <v>1</v>
      </c>
      <c r="GF36">
        <v>755299324</v>
      </c>
      <c r="GG36">
        <v>2</v>
      </c>
      <c r="GH36">
        <v>1</v>
      </c>
      <c r="GI36">
        <v>2</v>
      </c>
      <c r="GJ36">
        <v>0</v>
      </c>
      <c r="GK36">
        <v>0</v>
      </c>
      <c r="GL36">
        <f t="shared" si="47"/>
        <v>0</v>
      </c>
      <c r="GM36">
        <f t="shared" si="48"/>
        <v>250133.65</v>
      </c>
      <c r="GN36">
        <f t="shared" si="49"/>
        <v>250133.65</v>
      </c>
      <c r="GO36">
        <f t="shared" si="50"/>
        <v>0</v>
      </c>
      <c r="GP36">
        <f t="shared" si="51"/>
        <v>0</v>
      </c>
      <c r="GR36">
        <v>0</v>
      </c>
      <c r="GS36">
        <v>3</v>
      </c>
      <c r="GT36">
        <v>0</v>
      </c>
      <c r="GV36">
        <f t="shared" si="52"/>
        <v>0</v>
      </c>
      <c r="GW36">
        <v>1</v>
      </c>
      <c r="GX36">
        <f t="shared" si="53"/>
        <v>0</v>
      </c>
      <c r="HA36">
        <v>0</v>
      </c>
      <c r="HB36">
        <v>0</v>
      </c>
      <c r="HC36">
        <f t="shared" si="54"/>
        <v>0</v>
      </c>
      <c r="IK36">
        <v>0</v>
      </c>
    </row>
    <row r="38" spans="1:206" ht="12.75">
      <c r="A38" s="2">
        <v>51</v>
      </c>
      <c r="B38" s="2">
        <f>B24</f>
        <v>1</v>
      </c>
      <c r="C38" s="2">
        <f>A24</f>
        <v>4</v>
      </c>
      <c r="D38" s="2">
        <f>ROW(A24)</f>
        <v>24</v>
      </c>
      <c r="E38" s="2"/>
      <c r="F38" s="2" t="str">
        <f>IF(F24&lt;&gt;"",F24,"")</f>
        <v>Новый раздел</v>
      </c>
      <c r="G38" s="2" t="str">
        <f>IF(G24&lt;&gt;"",G24,"")</f>
        <v>1. Демонтажные работы</v>
      </c>
      <c r="H38" s="2">
        <v>0</v>
      </c>
      <c r="I38" s="2"/>
      <c r="J38" s="2"/>
      <c r="K38" s="2"/>
      <c r="L38" s="2"/>
      <c r="M38" s="2"/>
      <c r="N38" s="2"/>
      <c r="O38" s="2">
        <f aca="true" t="shared" si="55" ref="O38:T38">ROUND(AB38,2)</f>
        <v>267911.18</v>
      </c>
      <c r="P38" s="2">
        <f t="shared" si="55"/>
        <v>216.76</v>
      </c>
      <c r="Q38" s="2">
        <f t="shared" si="55"/>
        <v>31586.72</v>
      </c>
      <c r="R38" s="2">
        <f t="shared" si="55"/>
        <v>1680.54</v>
      </c>
      <c r="S38" s="2">
        <f t="shared" si="55"/>
        <v>236107.7</v>
      </c>
      <c r="T38" s="2">
        <f t="shared" si="55"/>
        <v>0</v>
      </c>
      <c r="U38" s="2">
        <f>AH38</f>
        <v>1488.8729000000003</v>
      </c>
      <c r="V38" s="2">
        <f>AI38</f>
        <v>6.977374999999999</v>
      </c>
      <c r="W38" s="2">
        <f>ROUND(AJ38,2)</f>
        <v>0</v>
      </c>
      <c r="X38" s="2">
        <f>ROUND(AK38,2)</f>
        <v>224217.86</v>
      </c>
      <c r="Y38" s="2">
        <f>ROUND(AL38,2)</f>
        <v>141358.76</v>
      </c>
      <c r="Z38" s="2"/>
      <c r="AA38" s="2"/>
      <c r="AB38" s="2">
        <f>ROUND(SUMIF(AA28:AA36,"=51669678",O28:O36),2)</f>
        <v>267911.18</v>
      </c>
      <c r="AC38" s="2">
        <f>ROUND(SUMIF(AA28:AA36,"=51669678",P28:P36),2)</f>
        <v>216.76</v>
      </c>
      <c r="AD38" s="2">
        <f>ROUND(SUMIF(AA28:AA36,"=51669678",Q28:Q36),2)</f>
        <v>31586.72</v>
      </c>
      <c r="AE38" s="2">
        <f>ROUND(SUMIF(AA28:AA36,"=51669678",R28:R36),2)</f>
        <v>1680.54</v>
      </c>
      <c r="AF38" s="2">
        <f>ROUND(SUMIF(AA28:AA36,"=51669678",S28:S36),2)</f>
        <v>236107.7</v>
      </c>
      <c r="AG38" s="2">
        <f>ROUND(SUMIF(AA28:AA36,"=51669678",T28:T36),2)</f>
        <v>0</v>
      </c>
      <c r="AH38" s="2">
        <f>SUMIF(AA28:AA36,"=51669678",U28:U36)</f>
        <v>1488.8729000000003</v>
      </c>
      <c r="AI38" s="2">
        <f>SUMIF(AA28:AA36,"=51669678",V28:V36)</f>
        <v>6.977374999999999</v>
      </c>
      <c r="AJ38" s="2">
        <f>ROUND(SUMIF(AA28:AA36,"=51669678",W28:W36),2)</f>
        <v>0</v>
      </c>
      <c r="AK38" s="2">
        <f>ROUND(SUMIF(AA28:AA36,"=51669678",X28:X36),2)</f>
        <v>224217.86</v>
      </c>
      <c r="AL38" s="2">
        <f>ROUND(SUMIF(AA28:AA36,"=51669678",Y28:Y36),2)</f>
        <v>141358.76</v>
      </c>
      <c r="AM38" s="2"/>
      <c r="AN38" s="2"/>
      <c r="AO38" s="2">
        <f aca="true" t="shared" si="56" ref="AO38:BC38">ROUND(BX38,2)</f>
        <v>0</v>
      </c>
      <c r="AP38" s="2">
        <f t="shared" si="56"/>
        <v>0</v>
      </c>
      <c r="AQ38" s="2">
        <f t="shared" si="56"/>
        <v>0</v>
      </c>
      <c r="AR38" s="2">
        <f t="shared" si="56"/>
        <v>633487.8</v>
      </c>
      <c r="AS38" s="2">
        <f t="shared" si="56"/>
        <v>633487.8</v>
      </c>
      <c r="AT38" s="2">
        <f t="shared" si="56"/>
        <v>0</v>
      </c>
      <c r="AU38" s="2">
        <f t="shared" si="56"/>
        <v>0</v>
      </c>
      <c r="AV38" s="2">
        <f t="shared" si="56"/>
        <v>216.76</v>
      </c>
      <c r="AW38" s="2">
        <f t="shared" si="56"/>
        <v>216.76</v>
      </c>
      <c r="AX38" s="2">
        <f t="shared" si="56"/>
        <v>0</v>
      </c>
      <c r="AY38" s="2">
        <f t="shared" si="56"/>
        <v>216.76</v>
      </c>
      <c r="AZ38" s="2">
        <f t="shared" si="56"/>
        <v>0</v>
      </c>
      <c r="BA38" s="2">
        <f t="shared" si="56"/>
        <v>0</v>
      </c>
      <c r="BB38" s="2">
        <f t="shared" si="56"/>
        <v>0</v>
      </c>
      <c r="BC38" s="2">
        <f t="shared" si="56"/>
        <v>0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>
        <f>ROUND(SUMIF(AA28:AA36,"=51669678",FQ28:FQ36),2)</f>
        <v>0</v>
      </c>
      <c r="BY38" s="2">
        <f>ROUND(SUMIF(AA28:AA36,"=51669678",FR28:FR36),2)</f>
        <v>0</v>
      </c>
      <c r="BZ38" s="2">
        <f>ROUND(SUMIF(AA28:AA36,"=51669678",GL28:GL36),2)</f>
        <v>0</v>
      </c>
      <c r="CA38" s="2">
        <f>ROUND(SUMIF(AA28:AA36,"=51669678",GM28:GM36),2)</f>
        <v>633487.8</v>
      </c>
      <c r="CB38" s="2">
        <f>ROUND(SUMIF(AA28:AA36,"=51669678",GN28:GN36),2)</f>
        <v>633487.8</v>
      </c>
      <c r="CC38" s="2">
        <f>ROUND(SUMIF(AA28:AA36,"=51669678",GO28:GO36),2)</f>
        <v>0</v>
      </c>
      <c r="CD38" s="2">
        <f>ROUND(SUMIF(AA28:AA36,"=51669678",GP28:GP36),2)</f>
        <v>0</v>
      </c>
      <c r="CE38" s="2">
        <f>AC38-BX38</f>
        <v>216.76</v>
      </c>
      <c r="CF38" s="2">
        <f>AC38-BY38</f>
        <v>216.76</v>
      </c>
      <c r="CG38" s="2">
        <f>BX38-BZ38</f>
        <v>0</v>
      </c>
      <c r="CH38" s="2">
        <f>AC38-BX38-BY38+BZ38</f>
        <v>216.76</v>
      </c>
      <c r="CI38" s="2">
        <f>BY38-BZ38</f>
        <v>0</v>
      </c>
      <c r="CJ38" s="2">
        <f>ROUND(SUMIF(AA28:AA36,"=51669678",GX28:GX36),2)</f>
        <v>0</v>
      </c>
      <c r="CK38" s="2">
        <f>ROUND(SUMIF(AA28:AA36,"=51669678",GY28:GY36),2)</f>
        <v>0</v>
      </c>
      <c r="CL38" s="2">
        <f>ROUND(SUMIF(AA28:AA36,"=51669678",GZ28:GZ36),2)</f>
        <v>0</v>
      </c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>
        <v>0</v>
      </c>
    </row>
    <row r="40" spans="1:23" ht="12.75">
      <c r="A40" s="4">
        <v>50</v>
      </c>
      <c r="B40" s="4">
        <v>0</v>
      </c>
      <c r="C40" s="4">
        <v>0</v>
      </c>
      <c r="D40" s="4">
        <v>1</v>
      </c>
      <c r="E40" s="4">
        <v>201</v>
      </c>
      <c r="F40" s="4">
        <f>ROUND(Source!O38,O40)</f>
        <v>267911.18</v>
      </c>
      <c r="G40" s="4" t="s">
        <v>79</v>
      </c>
      <c r="H40" s="4" t="s">
        <v>80</v>
      </c>
      <c r="I40" s="4"/>
      <c r="J40" s="4"/>
      <c r="K40" s="4">
        <v>201</v>
      </c>
      <c r="L40" s="4">
        <v>1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3" ht="12.75">
      <c r="A41" s="4">
        <v>50</v>
      </c>
      <c r="B41" s="4">
        <v>0</v>
      </c>
      <c r="C41" s="4">
        <v>0</v>
      </c>
      <c r="D41" s="4">
        <v>1</v>
      </c>
      <c r="E41" s="4">
        <v>202</v>
      </c>
      <c r="F41" s="4">
        <f>ROUND(Source!P38,O41)</f>
        <v>216.76</v>
      </c>
      <c r="G41" s="4" t="s">
        <v>81</v>
      </c>
      <c r="H41" s="4" t="s">
        <v>82</v>
      </c>
      <c r="I41" s="4"/>
      <c r="J41" s="4"/>
      <c r="K41" s="4">
        <v>202</v>
      </c>
      <c r="L41" s="4">
        <v>2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3" ht="12.75">
      <c r="A42" s="4">
        <v>50</v>
      </c>
      <c r="B42" s="4">
        <v>0</v>
      </c>
      <c r="C42" s="4">
        <v>0</v>
      </c>
      <c r="D42" s="4">
        <v>1</v>
      </c>
      <c r="E42" s="4">
        <v>222</v>
      </c>
      <c r="F42" s="4">
        <f>ROUND(Source!AO38,O42)</f>
        <v>0</v>
      </c>
      <c r="G42" s="4" t="s">
        <v>83</v>
      </c>
      <c r="H42" s="4" t="s">
        <v>84</v>
      </c>
      <c r="I42" s="4"/>
      <c r="J42" s="4"/>
      <c r="K42" s="4">
        <v>222</v>
      </c>
      <c r="L42" s="4">
        <v>3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3" ht="12.75">
      <c r="A43" s="4">
        <v>50</v>
      </c>
      <c r="B43" s="4">
        <v>0</v>
      </c>
      <c r="C43" s="4">
        <v>0</v>
      </c>
      <c r="D43" s="4">
        <v>1</v>
      </c>
      <c r="E43" s="4">
        <v>225</v>
      </c>
      <c r="F43" s="4">
        <f>ROUND(Source!AV38,O43)</f>
        <v>216.76</v>
      </c>
      <c r="G43" s="4" t="s">
        <v>85</v>
      </c>
      <c r="H43" s="4" t="s">
        <v>86</v>
      </c>
      <c r="I43" s="4"/>
      <c r="J43" s="4"/>
      <c r="K43" s="4">
        <v>225</v>
      </c>
      <c r="L43" s="4">
        <v>4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3" ht="12.75">
      <c r="A44" s="4">
        <v>50</v>
      </c>
      <c r="B44" s="4">
        <v>0</v>
      </c>
      <c r="C44" s="4">
        <v>0</v>
      </c>
      <c r="D44" s="4">
        <v>1</v>
      </c>
      <c r="E44" s="4">
        <v>226</v>
      </c>
      <c r="F44" s="4">
        <f>ROUND(Source!AW38,O44)</f>
        <v>216.76</v>
      </c>
      <c r="G44" s="4" t="s">
        <v>87</v>
      </c>
      <c r="H44" s="4" t="s">
        <v>88</v>
      </c>
      <c r="I44" s="4"/>
      <c r="J44" s="4"/>
      <c r="K44" s="4">
        <v>226</v>
      </c>
      <c r="L44" s="4">
        <v>5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3" ht="12.75">
      <c r="A45" s="4">
        <v>50</v>
      </c>
      <c r="B45" s="4">
        <v>0</v>
      </c>
      <c r="C45" s="4">
        <v>0</v>
      </c>
      <c r="D45" s="4">
        <v>1</v>
      </c>
      <c r="E45" s="4">
        <v>227</v>
      </c>
      <c r="F45" s="4">
        <f>ROUND(Source!AX38,O45)</f>
        <v>0</v>
      </c>
      <c r="G45" s="4" t="s">
        <v>89</v>
      </c>
      <c r="H45" s="4" t="s">
        <v>90</v>
      </c>
      <c r="I45" s="4"/>
      <c r="J45" s="4"/>
      <c r="K45" s="4">
        <v>227</v>
      </c>
      <c r="L45" s="4">
        <v>6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3" ht="12.75">
      <c r="A46" s="4">
        <v>50</v>
      </c>
      <c r="B46" s="4">
        <v>0</v>
      </c>
      <c r="C46" s="4">
        <v>0</v>
      </c>
      <c r="D46" s="4">
        <v>1</v>
      </c>
      <c r="E46" s="4">
        <v>228</v>
      </c>
      <c r="F46" s="4">
        <f>ROUND(Source!AY38,O46)</f>
        <v>216.76</v>
      </c>
      <c r="G46" s="4" t="s">
        <v>91</v>
      </c>
      <c r="H46" s="4" t="s">
        <v>92</v>
      </c>
      <c r="I46" s="4"/>
      <c r="J46" s="4"/>
      <c r="K46" s="4">
        <v>228</v>
      </c>
      <c r="L46" s="4">
        <v>7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3" ht="12.75">
      <c r="A47" s="4">
        <v>50</v>
      </c>
      <c r="B47" s="4">
        <v>0</v>
      </c>
      <c r="C47" s="4">
        <v>0</v>
      </c>
      <c r="D47" s="4">
        <v>1</v>
      </c>
      <c r="E47" s="4">
        <v>216</v>
      </c>
      <c r="F47" s="4">
        <f>ROUND(Source!AP38,O47)</f>
        <v>0</v>
      </c>
      <c r="G47" s="4" t="s">
        <v>93</v>
      </c>
      <c r="H47" s="4" t="s">
        <v>94</v>
      </c>
      <c r="I47" s="4"/>
      <c r="J47" s="4"/>
      <c r="K47" s="4">
        <v>216</v>
      </c>
      <c r="L47" s="4">
        <v>8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3" ht="12.75">
      <c r="A48" s="4">
        <v>50</v>
      </c>
      <c r="B48" s="4">
        <v>0</v>
      </c>
      <c r="C48" s="4">
        <v>0</v>
      </c>
      <c r="D48" s="4">
        <v>1</v>
      </c>
      <c r="E48" s="4">
        <v>223</v>
      </c>
      <c r="F48" s="4">
        <f>ROUND(Source!AQ38,O48)</f>
        <v>0</v>
      </c>
      <c r="G48" s="4" t="s">
        <v>95</v>
      </c>
      <c r="H48" s="4" t="s">
        <v>96</v>
      </c>
      <c r="I48" s="4"/>
      <c r="J48" s="4"/>
      <c r="K48" s="4">
        <v>223</v>
      </c>
      <c r="L48" s="4">
        <v>9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ht="12.75">
      <c r="A49" s="4">
        <v>50</v>
      </c>
      <c r="B49" s="4">
        <v>0</v>
      </c>
      <c r="C49" s="4">
        <v>0</v>
      </c>
      <c r="D49" s="4">
        <v>1</v>
      </c>
      <c r="E49" s="4">
        <v>229</v>
      </c>
      <c r="F49" s="4">
        <f>ROUND(Source!AZ38,O49)</f>
        <v>0</v>
      </c>
      <c r="G49" s="4" t="s">
        <v>97</v>
      </c>
      <c r="H49" s="4" t="s">
        <v>98</v>
      </c>
      <c r="I49" s="4"/>
      <c r="J49" s="4"/>
      <c r="K49" s="4">
        <v>229</v>
      </c>
      <c r="L49" s="4">
        <v>10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ht="12.75">
      <c r="A50" s="4">
        <v>50</v>
      </c>
      <c r="B50" s="4">
        <v>0</v>
      </c>
      <c r="C50" s="4">
        <v>0</v>
      </c>
      <c r="D50" s="4">
        <v>1</v>
      </c>
      <c r="E50" s="4">
        <v>203</v>
      </c>
      <c r="F50" s="4">
        <f>ROUND(Source!Q38,O50)</f>
        <v>31586.72</v>
      </c>
      <c r="G50" s="4" t="s">
        <v>99</v>
      </c>
      <c r="H50" s="4" t="s">
        <v>100</v>
      </c>
      <c r="I50" s="4"/>
      <c r="J50" s="4"/>
      <c r="K50" s="4">
        <v>203</v>
      </c>
      <c r="L50" s="4">
        <v>11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ht="12.75">
      <c r="A51" s="4">
        <v>50</v>
      </c>
      <c r="B51" s="4">
        <v>0</v>
      </c>
      <c r="C51" s="4">
        <v>0</v>
      </c>
      <c r="D51" s="4">
        <v>1</v>
      </c>
      <c r="E51" s="4">
        <v>231</v>
      </c>
      <c r="F51" s="4">
        <f>ROUND(Source!BB38,O51)</f>
        <v>0</v>
      </c>
      <c r="G51" s="4" t="s">
        <v>101</v>
      </c>
      <c r="H51" s="4" t="s">
        <v>102</v>
      </c>
      <c r="I51" s="4"/>
      <c r="J51" s="4"/>
      <c r="K51" s="4">
        <v>231</v>
      </c>
      <c r="L51" s="4">
        <v>12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ht="12.75">
      <c r="A52" s="4">
        <v>50</v>
      </c>
      <c r="B52" s="4">
        <v>0</v>
      </c>
      <c r="C52" s="4">
        <v>0</v>
      </c>
      <c r="D52" s="4">
        <v>1</v>
      </c>
      <c r="E52" s="4">
        <v>204</v>
      </c>
      <c r="F52" s="4">
        <f>ROUND(Source!R38,O52)</f>
        <v>1680.54</v>
      </c>
      <c r="G52" s="4" t="s">
        <v>103</v>
      </c>
      <c r="H52" s="4" t="s">
        <v>104</v>
      </c>
      <c r="I52" s="4"/>
      <c r="J52" s="4"/>
      <c r="K52" s="4">
        <v>204</v>
      </c>
      <c r="L52" s="4">
        <v>13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ht="12.75">
      <c r="A53" s="4">
        <v>50</v>
      </c>
      <c r="B53" s="4">
        <v>0</v>
      </c>
      <c r="C53" s="4">
        <v>0</v>
      </c>
      <c r="D53" s="4">
        <v>1</v>
      </c>
      <c r="E53" s="4">
        <v>205</v>
      </c>
      <c r="F53" s="4">
        <f>ROUND(Source!S38,O53)</f>
        <v>236107.7</v>
      </c>
      <c r="G53" s="4" t="s">
        <v>105</v>
      </c>
      <c r="H53" s="4" t="s">
        <v>106</v>
      </c>
      <c r="I53" s="4"/>
      <c r="J53" s="4"/>
      <c r="K53" s="4">
        <v>205</v>
      </c>
      <c r="L53" s="4">
        <v>14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ht="12.75">
      <c r="A54" s="4">
        <v>50</v>
      </c>
      <c r="B54" s="4">
        <v>0</v>
      </c>
      <c r="C54" s="4">
        <v>0</v>
      </c>
      <c r="D54" s="4">
        <v>1</v>
      </c>
      <c r="E54" s="4">
        <v>232</v>
      </c>
      <c r="F54" s="4">
        <f>ROUND(Source!BC38,O54)</f>
        <v>0</v>
      </c>
      <c r="G54" s="4" t="s">
        <v>107</v>
      </c>
      <c r="H54" s="4" t="s">
        <v>108</v>
      </c>
      <c r="I54" s="4"/>
      <c r="J54" s="4"/>
      <c r="K54" s="4">
        <v>232</v>
      </c>
      <c r="L54" s="4">
        <v>15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ht="12.75">
      <c r="A55" s="4">
        <v>50</v>
      </c>
      <c r="B55" s="4">
        <v>0</v>
      </c>
      <c r="C55" s="4">
        <v>0</v>
      </c>
      <c r="D55" s="4">
        <v>1</v>
      </c>
      <c r="E55" s="4">
        <v>214</v>
      </c>
      <c r="F55" s="4">
        <f>ROUND(Source!AS38,O55)</f>
        <v>633487.8</v>
      </c>
      <c r="G55" s="4" t="s">
        <v>109</v>
      </c>
      <c r="H55" s="4" t="s">
        <v>110</v>
      </c>
      <c r="I55" s="4"/>
      <c r="J55" s="4"/>
      <c r="K55" s="4">
        <v>214</v>
      </c>
      <c r="L55" s="4">
        <v>16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ht="12.75">
      <c r="A56" s="4">
        <v>50</v>
      </c>
      <c r="B56" s="4">
        <v>0</v>
      </c>
      <c r="C56" s="4">
        <v>0</v>
      </c>
      <c r="D56" s="4">
        <v>1</v>
      </c>
      <c r="E56" s="4">
        <v>215</v>
      </c>
      <c r="F56" s="4">
        <f>ROUND(Source!AT38,O56)</f>
        <v>0</v>
      </c>
      <c r="G56" s="4" t="s">
        <v>111</v>
      </c>
      <c r="H56" s="4" t="s">
        <v>112</v>
      </c>
      <c r="I56" s="4"/>
      <c r="J56" s="4"/>
      <c r="K56" s="4">
        <v>215</v>
      </c>
      <c r="L56" s="4">
        <v>17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ht="12.75">
      <c r="A57" s="4">
        <v>50</v>
      </c>
      <c r="B57" s="4">
        <v>0</v>
      </c>
      <c r="C57" s="4">
        <v>0</v>
      </c>
      <c r="D57" s="4">
        <v>1</v>
      </c>
      <c r="E57" s="4">
        <v>217</v>
      </c>
      <c r="F57" s="4">
        <f>ROUND(Source!AU38,O57)</f>
        <v>0</v>
      </c>
      <c r="G57" s="4" t="s">
        <v>113</v>
      </c>
      <c r="H57" s="4" t="s">
        <v>114</v>
      </c>
      <c r="I57" s="4"/>
      <c r="J57" s="4"/>
      <c r="K57" s="4">
        <v>217</v>
      </c>
      <c r="L57" s="4">
        <v>18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ht="12.75">
      <c r="A58" s="4">
        <v>50</v>
      </c>
      <c r="B58" s="4">
        <v>0</v>
      </c>
      <c r="C58" s="4">
        <v>0</v>
      </c>
      <c r="D58" s="4">
        <v>1</v>
      </c>
      <c r="E58" s="4">
        <v>230</v>
      </c>
      <c r="F58" s="4">
        <f>ROUND(Source!BA38,O58)</f>
        <v>0</v>
      </c>
      <c r="G58" s="4" t="s">
        <v>115</v>
      </c>
      <c r="H58" s="4" t="s">
        <v>116</v>
      </c>
      <c r="I58" s="4"/>
      <c r="J58" s="4"/>
      <c r="K58" s="4">
        <v>230</v>
      </c>
      <c r="L58" s="4">
        <v>19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ht="12.75">
      <c r="A59" s="4">
        <v>50</v>
      </c>
      <c r="B59" s="4">
        <v>0</v>
      </c>
      <c r="C59" s="4">
        <v>0</v>
      </c>
      <c r="D59" s="4">
        <v>1</v>
      </c>
      <c r="E59" s="4">
        <v>206</v>
      </c>
      <c r="F59" s="4">
        <f>ROUND(Source!T38,O59)</f>
        <v>0</v>
      </c>
      <c r="G59" s="4" t="s">
        <v>117</v>
      </c>
      <c r="H59" s="4" t="s">
        <v>118</v>
      </c>
      <c r="I59" s="4"/>
      <c r="J59" s="4"/>
      <c r="K59" s="4">
        <v>206</v>
      </c>
      <c r="L59" s="4">
        <v>20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ht="12.75">
      <c r="A60" s="4">
        <v>50</v>
      </c>
      <c r="B60" s="4">
        <v>0</v>
      </c>
      <c r="C60" s="4">
        <v>0</v>
      </c>
      <c r="D60" s="4">
        <v>1</v>
      </c>
      <c r="E60" s="4">
        <v>207</v>
      </c>
      <c r="F60" s="4">
        <f>Source!U38</f>
        <v>1488.8729000000003</v>
      </c>
      <c r="G60" s="4" t="s">
        <v>119</v>
      </c>
      <c r="H60" s="4" t="s">
        <v>120</v>
      </c>
      <c r="I60" s="4"/>
      <c r="J60" s="4"/>
      <c r="K60" s="4">
        <v>207</v>
      </c>
      <c r="L60" s="4">
        <v>21</v>
      </c>
      <c r="M60" s="4">
        <v>3</v>
      </c>
      <c r="N60" s="4" t="s">
        <v>3</v>
      </c>
      <c r="O60" s="4">
        <v>-1</v>
      </c>
      <c r="P60" s="4"/>
      <c r="Q60" s="4"/>
      <c r="R60" s="4"/>
      <c r="S60" s="4"/>
      <c r="T60" s="4"/>
      <c r="U60" s="4"/>
      <c r="V60" s="4"/>
      <c r="W60" s="4"/>
    </row>
    <row r="61" spans="1:23" ht="12.75">
      <c r="A61" s="4">
        <v>50</v>
      </c>
      <c r="B61" s="4">
        <v>0</v>
      </c>
      <c r="C61" s="4">
        <v>0</v>
      </c>
      <c r="D61" s="4">
        <v>1</v>
      </c>
      <c r="E61" s="4">
        <v>208</v>
      </c>
      <c r="F61" s="4">
        <f>Source!V38</f>
        <v>6.977374999999999</v>
      </c>
      <c r="G61" s="4" t="s">
        <v>121</v>
      </c>
      <c r="H61" s="4" t="s">
        <v>122</v>
      </c>
      <c r="I61" s="4"/>
      <c r="J61" s="4"/>
      <c r="K61" s="4">
        <v>208</v>
      </c>
      <c r="L61" s="4">
        <v>22</v>
      </c>
      <c r="M61" s="4">
        <v>3</v>
      </c>
      <c r="N61" s="4" t="s">
        <v>3</v>
      </c>
      <c r="O61" s="4">
        <v>-1</v>
      </c>
      <c r="P61" s="4"/>
      <c r="Q61" s="4"/>
      <c r="R61" s="4"/>
      <c r="S61" s="4"/>
      <c r="T61" s="4"/>
      <c r="U61" s="4"/>
      <c r="V61" s="4"/>
      <c r="W61" s="4"/>
    </row>
    <row r="62" spans="1:23" ht="12.75">
      <c r="A62" s="4">
        <v>50</v>
      </c>
      <c r="B62" s="4">
        <v>0</v>
      </c>
      <c r="C62" s="4">
        <v>0</v>
      </c>
      <c r="D62" s="4">
        <v>1</v>
      </c>
      <c r="E62" s="4">
        <v>209</v>
      </c>
      <c r="F62" s="4">
        <f>ROUND(Source!W38,O62)</f>
        <v>0</v>
      </c>
      <c r="G62" s="4" t="s">
        <v>123</v>
      </c>
      <c r="H62" s="4" t="s">
        <v>124</v>
      </c>
      <c r="I62" s="4"/>
      <c r="J62" s="4"/>
      <c r="K62" s="4">
        <v>209</v>
      </c>
      <c r="L62" s="4">
        <v>23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ht="12.75">
      <c r="A63" s="4">
        <v>50</v>
      </c>
      <c r="B63" s="4">
        <v>0</v>
      </c>
      <c r="C63" s="4">
        <v>0</v>
      </c>
      <c r="D63" s="4">
        <v>1</v>
      </c>
      <c r="E63" s="4">
        <v>210</v>
      </c>
      <c r="F63" s="4">
        <f>ROUND(Source!X38,O63)</f>
        <v>224217.86</v>
      </c>
      <c r="G63" s="4" t="s">
        <v>125</v>
      </c>
      <c r="H63" s="4" t="s">
        <v>126</v>
      </c>
      <c r="I63" s="4"/>
      <c r="J63" s="4"/>
      <c r="K63" s="4">
        <v>210</v>
      </c>
      <c r="L63" s="4">
        <v>24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ht="12.75">
      <c r="A64" s="4">
        <v>50</v>
      </c>
      <c r="B64" s="4">
        <v>0</v>
      </c>
      <c r="C64" s="4">
        <v>0</v>
      </c>
      <c r="D64" s="4">
        <v>1</v>
      </c>
      <c r="E64" s="4">
        <v>211</v>
      </c>
      <c r="F64" s="4">
        <f>ROUND(Source!Y38,O64)</f>
        <v>141358.76</v>
      </c>
      <c r="G64" s="4" t="s">
        <v>127</v>
      </c>
      <c r="H64" s="4" t="s">
        <v>128</v>
      </c>
      <c r="I64" s="4"/>
      <c r="J64" s="4"/>
      <c r="K64" s="4">
        <v>211</v>
      </c>
      <c r="L64" s="4">
        <v>25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ht="12.75">
      <c r="A65" s="4">
        <v>50</v>
      </c>
      <c r="B65" s="4">
        <v>0</v>
      </c>
      <c r="C65" s="4">
        <v>0</v>
      </c>
      <c r="D65" s="4">
        <v>1</v>
      </c>
      <c r="E65" s="4">
        <v>224</v>
      </c>
      <c r="F65" s="4">
        <f>ROUND(Source!AR38,O65)</f>
        <v>633487.8</v>
      </c>
      <c r="G65" s="4" t="s">
        <v>129</v>
      </c>
      <c r="H65" s="4" t="s">
        <v>130</v>
      </c>
      <c r="I65" s="4"/>
      <c r="J65" s="4"/>
      <c r="K65" s="4">
        <v>224</v>
      </c>
      <c r="L65" s="4">
        <v>26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7" spans="1:88" ht="12.75">
      <c r="A67" s="1">
        <v>4</v>
      </c>
      <c r="B67" s="1">
        <v>1</v>
      </c>
      <c r="C67" s="1"/>
      <c r="D67" s="1">
        <f>ROW(A233)</f>
        <v>233</v>
      </c>
      <c r="E67" s="1"/>
      <c r="F67" s="1" t="s">
        <v>11</v>
      </c>
      <c r="G67" s="1" t="s">
        <v>131</v>
      </c>
      <c r="H67" s="1" t="s">
        <v>3</v>
      </c>
      <c r="I67" s="1">
        <v>0</v>
      </c>
      <c r="J67" s="1"/>
      <c r="K67" s="1">
        <v>0</v>
      </c>
      <c r="L67" s="1"/>
      <c r="M67" s="1"/>
      <c r="N67" s="1"/>
      <c r="O67" s="1"/>
      <c r="P67" s="1"/>
      <c r="Q67" s="1"/>
      <c r="R67" s="1"/>
      <c r="S67" s="1"/>
      <c r="T67" s="1"/>
      <c r="U67" s="1" t="s">
        <v>3</v>
      </c>
      <c r="V67" s="1">
        <v>0</v>
      </c>
      <c r="W67" s="1"/>
      <c r="X67" s="1"/>
      <c r="Y67" s="1"/>
      <c r="Z67" s="1"/>
      <c r="AA67" s="1"/>
      <c r="AB67" s="1" t="s">
        <v>3</v>
      </c>
      <c r="AC67" s="1" t="s">
        <v>3</v>
      </c>
      <c r="AD67" s="1" t="s">
        <v>3</v>
      </c>
      <c r="AE67" s="1" t="s">
        <v>3</v>
      </c>
      <c r="AF67" s="1" t="s">
        <v>3</v>
      </c>
      <c r="AG67" s="1" t="s">
        <v>3</v>
      </c>
      <c r="AH67" s="1"/>
      <c r="AI67" s="1"/>
      <c r="AJ67" s="1"/>
      <c r="AK67" s="1"/>
      <c r="AL67" s="1"/>
      <c r="AM67" s="1"/>
      <c r="AN67" s="1"/>
      <c r="AO67" s="1"/>
      <c r="AP67" s="1" t="s">
        <v>3</v>
      </c>
      <c r="AQ67" s="1" t="s">
        <v>3</v>
      </c>
      <c r="AR67" s="1" t="s">
        <v>3</v>
      </c>
      <c r="AS67" s="1"/>
      <c r="AT67" s="1"/>
      <c r="AU67" s="1"/>
      <c r="AV67" s="1"/>
      <c r="AW67" s="1"/>
      <c r="AX67" s="1"/>
      <c r="AY67" s="1"/>
      <c r="AZ67" s="1" t="s">
        <v>3</v>
      </c>
      <c r="BA67" s="1"/>
      <c r="BB67" s="1" t="s">
        <v>3</v>
      </c>
      <c r="BC67" s="1" t="s">
        <v>3</v>
      </c>
      <c r="BD67" s="1" t="s">
        <v>3</v>
      </c>
      <c r="BE67" s="1" t="s">
        <v>3</v>
      </c>
      <c r="BF67" s="1" t="s">
        <v>3</v>
      </c>
      <c r="BG67" s="1" t="s">
        <v>3</v>
      </c>
      <c r="BH67" s="1" t="s">
        <v>3</v>
      </c>
      <c r="BI67" s="1" t="s">
        <v>3</v>
      </c>
      <c r="BJ67" s="1" t="s">
        <v>3</v>
      </c>
      <c r="BK67" s="1" t="s">
        <v>3</v>
      </c>
      <c r="BL67" s="1" t="s">
        <v>3</v>
      </c>
      <c r="BM67" s="1" t="s">
        <v>3</v>
      </c>
      <c r="BN67" s="1" t="s">
        <v>3</v>
      </c>
      <c r="BO67" s="1" t="s">
        <v>3</v>
      </c>
      <c r="BP67" s="1" t="s">
        <v>3</v>
      </c>
      <c r="BQ67" s="1"/>
      <c r="BR67" s="1"/>
      <c r="BS67" s="1"/>
      <c r="BT67" s="1"/>
      <c r="BU67" s="1"/>
      <c r="BV67" s="1"/>
      <c r="BW67" s="1"/>
      <c r="BX67" s="1"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>
        <v>0</v>
      </c>
    </row>
    <row r="69" spans="1:206" ht="12.75">
      <c r="A69" s="2">
        <v>52</v>
      </c>
      <c r="B69" s="2">
        <f aca="true" t="shared" si="57" ref="B69:G69">B233</f>
        <v>1</v>
      </c>
      <c r="C69" s="2">
        <f t="shared" si="57"/>
        <v>4</v>
      </c>
      <c r="D69" s="2">
        <f t="shared" si="57"/>
        <v>67</v>
      </c>
      <c r="E69" s="2">
        <f t="shared" si="57"/>
        <v>0</v>
      </c>
      <c r="F69" s="2" t="str">
        <f t="shared" si="57"/>
        <v>Новый раздел</v>
      </c>
      <c r="G69" s="2" t="str">
        <f t="shared" si="57"/>
        <v>2. Строительные работы</v>
      </c>
      <c r="H69" s="2"/>
      <c r="I69" s="2"/>
      <c r="J69" s="2"/>
      <c r="K69" s="2"/>
      <c r="L69" s="2"/>
      <c r="M69" s="2"/>
      <c r="N69" s="2"/>
      <c r="O69" s="2">
        <f aca="true" t="shared" si="58" ref="O69:AT69">O233</f>
        <v>3505223.88</v>
      </c>
      <c r="P69" s="2">
        <f t="shared" si="58"/>
        <v>2598513.28</v>
      </c>
      <c r="Q69" s="2">
        <f t="shared" si="58"/>
        <v>89646.42</v>
      </c>
      <c r="R69" s="2">
        <f t="shared" si="58"/>
        <v>9626.74</v>
      </c>
      <c r="S69" s="2">
        <f t="shared" si="58"/>
        <v>817064.18</v>
      </c>
      <c r="T69" s="2">
        <f t="shared" si="58"/>
        <v>0</v>
      </c>
      <c r="U69" s="2">
        <f t="shared" si="58"/>
        <v>4914.045113749999</v>
      </c>
      <c r="V69" s="2">
        <f t="shared" si="58"/>
        <v>39.961</v>
      </c>
      <c r="W69" s="2">
        <f t="shared" si="58"/>
        <v>0</v>
      </c>
      <c r="X69" s="2">
        <f t="shared" si="58"/>
        <v>861261.29</v>
      </c>
      <c r="Y69" s="2">
        <f t="shared" si="58"/>
        <v>481189.1</v>
      </c>
      <c r="Z69" s="2">
        <f t="shared" si="58"/>
        <v>0</v>
      </c>
      <c r="AA69" s="2">
        <f t="shared" si="58"/>
        <v>0</v>
      </c>
      <c r="AB69" s="2">
        <f t="shared" si="58"/>
        <v>0</v>
      </c>
      <c r="AC69" s="2">
        <f t="shared" si="58"/>
        <v>0</v>
      </c>
      <c r="AD69" s="2">
        <f t="shared" si="58"/>
        <v>0</v>
      </c>
      <c r="AE69" s="2">
        <f t="shared" si="58"/>
        <v>0</v>
      </c>
      <c r="AF69" s="2">
        <f t="shared" si="58"/>
        <v>0</v>
      </c>
      <c r="AG69" s="2">
        <f t="shared" si="58"/>
        <v>0</v>
      </c>
      <c r="AH69" s="2">
        <f t="shared" si="58"/>
        <v>0</v>
      </c>
      <c r="AI69" s="2">
        <f t="shared" si="58"/>
        <v>0</v>
      </c>
      <c r="AJ69" s="2">
        <f t="shared" si="58"/>
        <v>0</v>
      </c>
      <c r="AK69" s="2">
        <f t="shared" si="58"/>
        <v>0</v>
      </c>
      <c r="AL69" s="2">
        <f t="shared" si="58"/>
        <v>0</v>
      </c>
      <c r="AM69" s="2">
        <f t="shared" si="58"/>
        <v>0</v>
      </c>
      <c r="AN69" s="2">
        <f t="shared" si="58"/>
        <v>0</v>
      </c>
      <c r="AO69" s="2">
        <f t="shared" si="58"/>
        <v>0</v>
      </c>
      <c r="AP69" s="2">
        <f t="shared" si="58"/>
        <v>0</v>
      </c>
      <c r="AQ69" s="2">
        <f t="shared" si="58"/>
        <v>0</v>
      </c>
      <c r="AR69" s="2">
        <f t="shared" si="58"/>
        <v>4847674.27</v>
      </c>
      <c r="AS69" s="2">
        <f t="shared" si="58"/>
        <v>4620010.41</v>
      </c>
      <c r="AT69" s="2">
        <f t="shared" si="58"/>
        <v>890.57</v>
      </c>
      <c r="AU69" s="2">
        <f aca="true" t="shared" si="59" ref="AU69:BZ69">AU233</f>
        <v>226773.29</v>
      </c>
      <c r="AV69" s="2">
        <f t="shared" si="59"/>
        <v>2598513.28</v>
      </c>
      <c r="AW69" s="2">
        <f t="shared" si="59"/>
        <v>2598513.28</v>
      </c>
      <c r="AX69" s="2">
        <f t="shared" si="59"/>
        <v>0</v>
      </c>
      <c r="AY69" s="2">
        <f t="shared" si="59"/>
        <v>2598513.28</v>
      </c>
      <c r="AZ69" s="2">
        <f t="shared" si="59"/>
        <v>0</v>
      </c>
      <c r="BA69" s="2">
        <f t="shared" si="59"/>
        <v>0</v>
      </c>
      <c r="BB69" s="2">
        <f t="shared" si="59"/>
        <v>0</v>
      </c>
      <c r="BC69" s="2">
        <f t="shared" si="59"/>
        <v>0</v>
      </c>
      <c r="BD69" s="2">
        <f t="shared" si="59"/>
        <v>0</v>
      </c>
      <c r="BE69" s="2">
        <f t="shared" si="59"/>
        <v>0</v>
      </c>
      <c r="BF69" s="2">
        <f t="shared" si="59"/>
        <v>0</v>
      </c>
      <c r="BG69" s="2">
        <f t="shared" si="59"/>
        <v>0</v>
      </c>
      <c r="BH69" s="2">
        <f t="shared" si="59"/>
        <v>0</v>
      </c>
      <c r="BI69" s="2">
        <f t="shared" si="59"/>
        <v>0</v>
      </c>
      <c r="BJ69" s="2">
        <f t="shared" si="59"/>
        <v>0</v>
      </c>
      <c r="BK69" s="2">
        <f t="shared" si="59"/>
        <v>0</v>
      </c>
      <c r="BL69" s="2">
        <f t="shared" si="59"/>
        <v>0</v>
      </c>
      <c r="BM69" s="2">
        <f t="shared" si="59"/>
        <v>0</v>
      </c>
      <c r="BN69" s="2">
        <f t="shared" si="59"/>
        <v>0</v>
      </c>
      <c r="BO69" s="2">
        <f t="shared" si="59"/>
        <v>0</v>
      </c>
      <c r="BP69" s="2">
        <f t="shared" si="59"/>
        <v>0</v>
      </c>
      <c r="BQ69" s="2">
        <f t="shared" si="59"/>
        <v>0</v>
      </c>
      <c r="BR69" s="2">
        <f t="shared" si="59"/>
        <v>0</v>
      </c>
      <c r="BS69" s="2">
        <f t="shared" si="59"/>
        <v>0</v>
      </c>
      <c r="BT69" s="2">
        <f t="shared" si="59"/>
        <v>0</v>
      </c>
      <c r="BU69" s="2">
        <f t="shared" si="59"/>
        <v>0</v>
      </c>
      <c r="BV69" s="2">
        <f t="shared" si="59"/>
        <v>0</v>
      </c>
      <c r="BW69" s="2">
        <f t="shared" si="59"/>
        <v>0</v>
      </c>
      <c r="BX69" s="2">
        <f t="shared" si="59"/>
        <v>0</v>
      </c>
      <c r="BY69" s="2">
        <f t="shared" si="59"/>
        <v>0</v>
      </c>
      <c r="BZ69" s="2">
        <f t="shared" si="59"/>
        <v>0</v>
      </c>
      <c r="CA69" s="2">
        <f aca="true" t="shared" si="60" ref="CA69:DF69">CA233</f>
        <v>0</v>
      </c>
      <c r="CB69" s="2">
        <f t="shared" si="60"/>
        <v>0</v>
      </c>
      <c r="CC69" s="2">
        <f t="shared" si="60"/>
        <v>0</v>
      </c>
      <c r="CD69" s="2">
        <f t="shared" si="60"/>
        <v>0</v>
      </c>
      <c r="CE69" s="2">
        <f t="shared" si="60"/>
        <v>0</v>
      </c>
      <c r="CF69" s="2">
        <f t="shared" si="60"/>
        <v>0</v>
      </c>
      <c r="CG69" s="2">
        <f t="shared" si="60"/>
        <v>0</v>
      </c>
      <c r="CH69" s="2">
        <f t="shared" si="60"/>
        <v>0</v>
      </c>
      <c r="CI69" s="2">
        <f t="shared" si="60"/>
        <v>0</v>
      </c>
      <c r="CJ69" s="2">
        <f t="shared" si="60"/>
        <v>0</v>
      </c>
      <c r="CK69" s="2">
        <f t="shared" si="60"/>
        <v>0</v>
      </c>
      <c r="CL69" s="2">
        <f t="shared" si="60"/>
        <v>0</v>
      </c>
      <c r="CM69" s="2">
        <f t="shared" si="60"/>
        <v>0</v>
      </c>
      <c r="CN69" s="2">
        <f t="shared" si="60"/>
        <v>0</v>
      </c>
      <c r="CO69" s="2">
        <f t="shared" si="60"/>
        <v>0</v>
      </c>
      <c r="CP69" s="2">
        <f t="shared" si="60"/>
        <v>0</v>
      </c>
      <c r="CQ69" s="2">
        <f t="shared" si="60"/>
        <v>0</v>
      </c>
      <c r="CR69" s="2">
        <f t="shared" si="60"/>
        <v>0</v>
      </c>
      <c r="CS69" s="2">
        <f t="shared" si="60"/>
        <v>0</v>
      </c>
      <c r="CT69" s="2">
        <f t="shared" si="60"/>
        <v>0</v>
      </c>
      <c r="CU69" s="2">
        <f t="shared" si="60"/>
        <v>0</v>
      </c>
      <c r="CV69" s="2">
        <f t="shared" si="60"/>
        <v>0</v>
      </c>
      <c r="CW69" s="2">
        <f t="shared" si="60"/>
        <v>0</v>
      </c>
      <c r="CX69" s="2">
        <f t="shared" si="60"/>
        <v>0</v>
      </c>
      <c r="CY69" s="2">
        <f t="shared" si="60"/>
        <v>0</v>
      </c>
      <c r="CZ69" s="2">
        <f t="shared" si="60"/>
        <v>0</v>
      </c>
      <c r="DA69" s="2">
        <f t="shared" si="60"/>
        <v>0</v>
      </c>
      <c r="DB69" s="2">
        <f t="shared" si="60"/>
        <v>0</v>
      </c>
      <c r="DC69" s="2">
        <f t="shared" si="60"/>
        <v>0</v>
      </c>
      <c r="DD69" s="2">
        <f t="shared" si="60"/>
        <v>0</v>
      </c>
      <c r="DE69" s="2">
        <f t="shared" si="60"/>
        <v>0</v>
      </c>
      <c r="DF69" s="2">
        <f t="shared" si="60"/>
        <v>0</v>
      </c>
      <c r="DG69" s="3">
        <f aca="true" t="shared" si="61" ref="DG69:EL69">DG233</f>
        <v>0</v>
      </c>
      <c r="DH69" s="3">
        <f t="shared" si="61"/>
        <v>0</v>
      </c>
      <c r="DI69" s="3">
        <f t="shared" si="61"/>
        <v>0</v>
      </c>
      <c r="DJ69" s="3">
        <f t="shared" si="61"/>
        <v>0</v>
      </c>
      <c r="DK69" s="3">
        <f t="shared" si="61"/>
        <v>0</v>
      </c>
      <c r="DL69" s="3">
        <f t="shared" si="61"/>
        <v>0</v>
      </c>
      <c r="DM69" s="3">
        <f t="shared" si="61"/>
        <v>0</v>
      </c>
      <c r="DN69" s="3">
        <f t="shared" si="61"/>
        <v>0</v>
      </c>
      <c r="DO69" s="3">
        <f t="shared" si="61"/>
        <v>0</v>
      </c>
      <c r="DP69" s="3">
        <f t="shared" si="61"/>
        <v>0</v>
      </c>
      <c r="DQ69" s="3">
        <f t="shared" si="61"/>
        <v>0</v>
      </c>
      <c r="DR69" s="3">
        <f t="shared" si="61"/>
        <v>0</v>
      </c>
      <c r="DS69" s="3">
        <f t="shared" si="61"/>
        <v>0</v>
      </c>
      <c r="DT69" s="3">
        <f t="shared" si="61"/>
        <v>0</v>
      </c>
      <c r="DU69" s="3">
        <f t="shared" si="61"/>
        <v>0</v>
      </c>
      <c r="DV69" s="3">
        <f t="shared" si="61"/>
        <v>0</v>
      </c>
      <c r="DW69" s="3">
        <f t="shared" si="61"/>
        <v>0</v>
      </c>
      <c r="DX69" s="3">
        <f t="shared" si="61"/>
        <v>0</v>
      </c>
      <c r="DY69" s="3">
        <f t="shared" si="61"/>
        <v>0</v>
      </c>
      <c r="DZ69" s="3">
        <f t="shared" si="61"/>
        <v>0</v>
      </c>
      <c r="EA69" s="3">
        <f t="shared" si="61"/>
        <v>0</v>
      </c>
      <c r="EB69" s="3">
        <f t="shared" si="61"/>
        <v>0</v>
      </c>
      <c r="EC69" s="3">
        <f t="shared" si="61"/>
        <v>0</v>
      </c>
      <c r="ED69" s="3">
        <f t="shared" si="61"/>
        <v>0</v>
      </c>
      <c r="EE69" s="3">
        <f t="shared" si="61"/>
        <v>0</v>
      </c>
      <c r="EF69" s="3">
        <f t="shared" si="61"/>
        <v>0</v>
      </c>
      <c r="EG69" s="3">
        <f t="shared" si="61"/>
        <v>0</v>
      </c>
      <c r="EH69" s="3">
        <f t="shared" si="61"/>
        <v>0</v>
      </c>
      <c r="EI69" s="3">
        <f t="shared" si="61"/>
        <v>0</v>
      </c>
      <c r="EJ69" s="3">
        <f t="shared" si="61"/>
        <v>0</v>
      </c>
      <c r="EK69" s="3">
        <f t="shared" si="61"/>
        <v>0</v>
      </c>
      <c r="EL69" s="3">
        <f t="shared" si="61"/>
        <v>0</v>
      </c>
      <c r="EM69" s="3">
        <f aca="true" t="shared" si="62" ref="EM69:FR69">EM233</f>
        <v>0</v>
      </c>
      <c r="EN69" s="3">
        <f t="shared" si="62"/>
        <v>0</v>
      </c>
      <c r="EO69" s="3">
        <f t="shared" si="62"/>
        <v>0</v>
      </c>
      <c r="EP69" s="3">
        <f t="shared" si="62"/>
        <v>0</v>
      </c>
      <c r="EQ69" s="3">
        <f t="shared" si="62"/>
        <v>0</v>
      </c>
      <c r="ER69" s="3">
        <f t="shared" si="62"/>
        <v>0</v>
      </c>
      <c r="ES69" s="3">
        <f t="shared" si="62"/>
        <v>0</v>
      </c>
      <c r="ET69" s="3">
        <f t="shared" si="62"/>
        <v>0</v>
      </c>
      <c r="EU69" s="3">
        <f t="shared" si="62"/>
        <v>0</v>
      </c>
      <c r="EV69" s="3">
        <f t="shared" si="62"/>
        <v>0</v>
      </c>
      <c r="EW69" s="3">
        <f t="shared" si="62"/>
        <v>0</v>
      </c>
      <c r="EX69" s="3">
        <f t="shared" si="62"/>
        <v>0</v>
      </c>
      <c r="EY69" s="3">
        <f t="shared" si="62"/>
        <v>0</v>
      </c>
      <c r="EZ69" s="3">
        <f t="shared" si="62"/>
        <v>0</v>
      </c>
      <c r="FA69" s="3">
        <f t="shared" si="62"/>
        <v>0</v>
      </c>
      <c r="FB69" s="3">
        <f t="shared" si="62"/>
        <v>0</v>
      </c>
      <c r="FC69" s="3">
        <f t="shared" si="62"/>
        <v>0</v>
      </c>
      <c r="FD69" s="3">
        <f t="shared" si="62"/>
        <v>0</v>
      </c>
      <c r="FE69" s="3">
        <f t="shared" si="62"/>
        <v>0</v>
      </c>
      <c r="FF69" s="3">
        <f t="shared" si="62"/>
        <v>0</v>
      </c>
      <c r="FG69" s="3">
        <f t="shared" si="62"/>
        <v>0</v>
      </c>
      <c r="FH69" s="3">
        <f t="shared" si="62"/>
        <v>0</v>
      </c>
      <c r="FI69" s="3">
        <f t="shared" si="62"/>
        <v>0</v>
      </c>
      <c r="FJ69" s="3">
        <f t="shared" si="62"/>
        <v>0</v>
      </c>
      <c r="FK69" s="3">
        <f t="shared" si="62"/>
        <v>0</v>
      </c>
      <c r="FL69" s="3">
        <f t="shared" si="62"/>
        <v>0</v>
      </c>
      <c r="FM69" s="3">
        <f t="shared" si="62"/>
        <v>0</v>
      </c>
      <c r="FN69" s="3">
        <f t="shared" si="62"/>
        <v>0</v>
      </c>
      <c r="FO69" s="3">
        <f t="shared" si="62"/>
        <v>0</v>
      </c>
      <c r="FP69" s="3">
        <f t="shared" si="62"/>
        <v>0</v>
      </c>
      <c r="FQ69" s="3">
        <f t="shared" si="62"/>
        <v>0</v>
      </c>
      <c r="FR69" s="3">
        <f t="shared" si="62"/>
        <v>0</v>
      </c>
      <c r="FS69" s="3">
        <f aca="true" t="shared" si="63" ref="FS69:GX69">FS233</f>
        <v>0</v>
      </c>
      <c r="FT69" s="3">
        <f t="shared" si="63"/>
        <v>0</v>
      </c>
      <c r="FU69" s="3">
        <f t="shared" si="63"/>
        <v>0</v>
      </c>
      <c r="FV69" s="3">
        <f t="shared" si="63"/>
        <v>0</v>
      </c>
      <c r="FW69" s="3">
        <f t="shared" si="63"/>
        <v>0</v>
      </c>
      <c r="FX69" s="3">
        <f t="shared" si="63"/>
        <v>0</v>
      </c>
      <c r="FY69" s="3">
        <f t="shared" si="63"/>
        <v>0</v>
      </c>
      <c r="FZ69" s="3">
        <f t="shared" si="63"/>
        <v>0</v>
      </c>
      <c r="GA69" s="3">
        <f t="shared" si="63"/>
        <v>0</v>
      </c>
      <c r="GB69" s="3">
        <f t="shared" si="63"/>
        <v>0</v>
      </c>
      <c r="GC69" s="3">
        <f t="shared" si="63"/>
        <v>0</v>
      </c>
      <c r="GD69" s="3">
        <f t="shared" si="63"/>
        <v>0</v>
      </c>
      <c r="GE69" s="3">
        <f t="shared" si="63"/>
        <v>0</v>
      </c>
      <c r="GF69" s="3">
        <f t="shared" si="63"/>
        <v>0</v>
      </c>
      <c r="GG69" s="3">
        <f t="shared" si="63"/>
        <v>0</v>
      </c>
      <c r="GH69" s="3">
        <f t="shared" si="63"/>
        <v>0</v>
      </c>
      <c r="GI69" s="3">
        <f t="shared" si="63"/>
        <v>0</v>
      </c>
      <c r="GJ69" s="3">
        <f t="shared" si="63"/>
        <v>0</v>
      </c>
      <c r="GK69" s="3">
        <f t="shared" si="63"/>
        <v>0</v>
      </c>
      <c r="GL69" s="3">
        <f t="shared" si="63"/>
        <v>0</v>
      </c>
      <c r="GM69" s="3">
        <f t="shared" si="63"/>
        <v>0</v>
      </c>
      <c r="GN69" s="3">
        <f t="shared" si="63"/>
        <v>0</v>
      </c>
      <c r="GO69" s="3">
        <f t="shared" si="63"/>
        <v>0</v>
      </c>
      <c r="GP69" s="3">
        <f t="shared" si="63"/>
        <v>0</v>
      </c>
      <c r="GQ69" s="3">
        <f t="shared" si="63"/>
        <v>0</v>
      </c>
      <c r="GR69" s="3">
        <f t="shared" si="63"/>
        <v>0</v>
      </c>
      <c r="GS69" s="3">
        <f t="shared" si="63"/>
        <v>0</v>
      </c>
      <c r="GT69" s="3">
        <f t="shared" si="63"/>
        <v>0</v>
      </c>
      <c r="GU69" s="3">
        <f t="shared" si="63"/>
        <v>0</v>
      </c>
      <c r="GV69" s="3">
        <f t="shared" si="63"/>
        <v>0</v>
      </c>
      <c r="GW69" s="3">
        <f t="shared" si="63"/>
        <v>0</v>
      </c>
      <c r="GX69" s="3">
        <f t="shared" si="63"/>
        <v>0</v>
      </c>
    </row>
    <row r="71" spans="1:88" ht="12.75">
      <c r="A71" s="1">
        <v>5</v>
      </c>
      <c r="B71" s="1">
        <v>1</v>
      </c>
      <c r="C71" s="1"/>
      <c r="D71" s="1">
        <f>ROW(A101)</f>
        <v>101</v>
      </c>
      <c r="E71" s="1"/>
      <c r="F71" s="1" t="s">
        <v>132</v>
      </c>
      <c r="G71" s="1" t="s">
        <v>133</v>
      </c>
      <c r="H71" s="1" t="s">
        <v>3</v>
      </c>
      <c r="I71" s="1">
        <v>0</v>
      </c>
      <c r="J71" s="1"/>
      <c r="K71" s="1">
        <v>0</v>
      </c>
      <c r="L71" s="1"/>
      <c r="M71" s="1"/>
      <c r="N71" s="1"/>
      <c r="O71" s="1"/>
      <c r="P71" s="1"/>
      <c r="Q71" s="1"/>
      <c r="R71" s="1"/>
      <c r="S71" s="1"/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06" ht="12.75">
      <c r="A73" s="2">
        <v>52</v>
      </c>
      <c r="B73" s="2">
        <f aca="true" t="shared" si="64" ref="B73:G73">B101</f>
        <v>1</v>
      </c>
      <c r="C73" s="2">
        <f t="shared" si="64"/>
        <v>5</v>
      </c>
      <c r="D73" s="2">
        <f t="shared" si="64"/>
        <v>71</v>
      </c>
      <c r="E73" s="2">
        <f t="shared" si="64"/>
        <v>0</v>
      </c>
      <c r="F73" s="2" t="str">
        <f t="shared" si="64"/>
        <v>Новый подраздел</v>
      </c>
      <c r="G73" s="2" t="str">
        <f t="shared" si="64"/>
        <v>2.1. Крыша и кровля</v>
      </c>
      <c r="H73" s="2"/>
      <c r="I73" s="2"/>
      <c r="J73" s="2"/>
      <c r="K73" s="2"/>
      <c r="L73" s="2"/>
      <c r="M73" s="2"/>
      <c r="N73" s="2"/>
      <c r="O73" s="2">
        <f aca="true" t="shared" si="65" ref="O73:AT73">O101</f>
        <v>2355127.05</v>
      </c>
      <c r="P73" s="2">
        <f t="shared" si="65"/>
        <v>1790131.57</v>
      </c>
      <c r="Q73" s="2">
        <f t="shared" si="65"/>
        <v>68780.96</v>
      </c>
      <c r="R73" s="2">
        <f t="shared" si="65"/>
        <v>7617.73</v>
      </c>
      <c r="S73" s="2">
        <f t="shared" si="65"/>
        <v>496214.52</v>
      </c>
      <c r="T73" s="2">
        <f t="shared" si="65"/>
        <v>0</v>
      </c>
      <c r="U73" s="2">
        <f t="shared" si="65"/>
        <v>2930.2270624999996</v>
      </c>
      <c r="V73" s="2">
        <f t="shared" si="65"/>
        <v>31.624999999999996</v>
      </c>
      <c r="W73" s="2">
        <f t="shared" si="65"/>
        <v>0</v>
      </c>
      <c r="X73" s="2">
        <f t="shared" si="65"/>
        <v>532855.04</v>
      </c>
      <c r="Y73" s="2">
        <f t="shared" si="65"/>
        <v>281921.29</v>
      </c>
      <c r="Z73" s="2">
        <f t="shared" si="65"/>
        <v>0</v>
      </c>
      <c r="AA73" s="2">
        <f t="shared" si="65"/>
        <v>0</v>
      </c>
      <c r="AB73" s="2">
        <f t="shared" si="65"/>
        <v>2355127.05</v>
      </c>
      <c r="AC73" s="2">
        <f t="shared" si="65"/>
        <v>1790131.57</v>
      </c>
      <c r="AD73" s="2">
        <f t="shared" si="65"/>
        <v>68780.96</v>
      </c>
      <c r="AE73" s="2">
        <f t="shared" si="65"/>
        <v>7617.73</v>
      </c>
      <c r="AF73" s="2">
        <f t="shared" si="65"/>
        <v>496214.52</v>
      </c>
      <c r="AG73" s="2">
        <f t="shared" si="65"/>
        <v>0</v>
      </c>
      <c r="AH73" s="2">
        <f t="shared" si="65"/>
        <v>2930.2270624999996</v>
      </c>
      <c r="AI73" s="2">
        <f t="shared" si="65"/>
        <v>31.624999999999996</v>
      </c>
      <c r="AJ73" s="2">
        <f t="shared" si="65"/>
        <v>0</v>
      </c>
      <c r="AK73" s="2">
        <f t="shared" si="65"/>
        <v>532855.04</v>
      </c>
      <c r="AL73" s="2">
        <f t="shared" si="65"/>
        <v>281921.29</v>
      </c>
      <c r="AM73" s="2">
        <f t="shared" si="65"/>
        <v>0</v>
      </c>
      <c r="AN73" s="2">
        <f t="shared" si="65"/>
        <v>0</v>
      </c>
      <c r="AO73" s="2">
        <f t="shared" si="65"/>
        <v>0</v>
      </c>
      <c r="AP73" s="2">
        <f t="shared" si="65"/>
        <v>0</v>
      </c>
      <c r="AQ73" s="2">
        <f t="shared" si="65"/>
        <v>0</v>
      </c>
      <c r="AR73" s="2">
        <f t="shared" si="65"/>
        <v>3169903.38</v>
      </c>
      <c r="AS73" s="2">
        <f t="shared" si="65"/>
        <v>3059662.39</v>
      </c>
      <c r="AT73" s="2">
        <f t="shared" si="65"/>
        <v>890.57</v>
      </c>
      <c r="AU73" s="2">
        <f aca="true" t="shared" si="66" ref="AU73:BZ73">AU101</f>
        <v>109350.42</v>
      </c>
      <c r="AV73" s="2">
        <f t="shared" si="66"/>
        <v>1790131.57</v>
      </c>
      <c r="AW73" s="2">
        <f t="shared" si="66"/>
        <v>1790131.57</v>
      </c>
      <c r="AX73" s="2">
        <f t="shared" si="66"/>
        <v>0</v>
      </c>
      <c r="AY73" s="2">
        <f t="shared" si="66"/>
        <v>1790131.57</v>
      </c>
      <c r="AZ73" s="2">
        <f t="shared" si="66"/>
        <v>0</v>
      </c>
      <c r="BA73" s="2">
        <f t="shared" si="66"/>
        <v>0</v>
      </c>
      <c r="BB73" s="2">
        <f t="shared" si="66"/>
        <v>0</v>
      </c>
      <c r="BC73" s="2">
        <f t="shared" si="66"/>
        <v>0</v>
      </c>
      <c r="BD73" s="2">
        <f t="shared" si="66"/>
        <v>0</v>
      </c>
      <c r="BE73" s="2">
        <f t="shared" si="66"/>
        <v>0</v>
      </c>
      <c r="BF73" s="2">
        <f t="shared" si="66"/>
        <v>0</v>
      </c>
      <c r="BG73" s="2">
        <f t="shared" si="66"/>
        <v>0</v>
      </c>
      <c r="BH73" s="2">
        <f t="shared" si="66"/>
        <v>0</v>
      </c>
      <c r="BI73" s="2">
        <f t="shared" si="66"/>
        <v>0</v>
      </c>
      <c r="BJ73" s="2">
        <f t="shared" si="66"/>
        <v>0</v>
      </c>
      <c r="BK73" s="2">
        <f t="shared" si="66"/>
        <v>0</v>
      </c>
      <c r="BL73" s="2">
        <f t="shared" si="66"/>
        <v>0</v>
      </c>
      <c r="BM73" s="2">
        <f t="shared" si="66"/>
        <v>0</v>
      </c>
      <c r="BN73" s="2">
        <f t="shared" si="66"/>
        <v>0</v>
      </c>
      <c r="BO73" s="2">
        <f t="shared" si="66"/>
        <v>0</v>
      </c>
      <c r="BP73" s="2">
        <f t="shared" si="66"/>
        <v>0</v>
      </c>
      <c r="BQ73" s="2">
        <f t="shared" si="66"/>
        <v>0</v>
      </c>
      <c r="BR73" s="2">
        <f t="shared" si="66"/>
        <v>0</v>
      </c>
      <c r="BS73" s="2">
        <f t="shared" si="66"/>
        <v>0</v>
      </c>
      <c r="BT73" s="2">
        <f t="shared" si="66"/>
        <v>0</v>
      </c>
      <c r="BU73" s="2">
        <f t="shared" si="66"/>
        <v>0</v>
      </c>
      <c r="BV73" s="2">
        <f t="shared" si="66"/>
        <v>0</v>
      </c>
      <c r="BW73" s="2">
        <f t="shared" si="66"/>
        <v>0</v>
      </c>
      <c r="BX73" s="2">
        <f t="shared" si="66"/>
        <v>0</v>
      </c>
      <c r="BY73" s="2">
        <f t="shared" si="66"/>
        <v>0</v>
      </c>
      <c r="BZ73" s="2">
        <f t="shared" si="66"/>
        <v>0</v>
      </c>
      <c r="CA73" s="2">
        <f aca="true" t="shared" si="67" ref="CA73:DF73">CA101</f>
        <v>3169903.38</v>
      </c>
      <c r="CB73" s="2">
        <f t="shared" si="67"/>
        <v>3059662.39</v>
      </c>
      <c r="CC73" s="2">
        <f t="shared" si="67"/>
        <v>890.57</v>
      </c>
      <c r="CD73" s="2">
        <f t="shared" si="67"/>
        <v>109350.42</v>
      </c>
      <c r="CE73" s="2">
        <f t="shared" si="67"/>
        <v>1790131.57</v>
      </c>
      <c r="CF73" s="2">
        <f t="shared" si="67"/>
        <v>1790131.57</v>
      </c>
      <c r="CG73" s="2">
        <f t="shared" si="67"/>
        <v>0</v>
      </c>
      <c r="CH73" s="2">
        <f t="shared" si="67"/>
        <v>1790131.57</v>
      </c>
      <c r="CI73" s="2">
        <f t="shared" si="67"/>
        <v>0</v>
      </c>
      <c r="CJ73" s="2">
        <f t="shared" si="67"/>
        <v>0</v>
      </c>
      <c r="CK73" s="2">
        <f t="shared" si="67"/>
        <v>0</v>
      </c>
      <c r="CL73" s="2">
        <f t="shared" si="67"/>
        <v>0</v>
      </c>
      <c r="CM73" s="2">
        <f t="shared" si="67"/>
        <v>0</v>
      </c>
      <c r="CN73" s="2">
        <f t="shared" si="67"/>
        <v>0</v>
      </c>
      <c r="CO73" s="2">
        <f t="shared" si="67"/>
        <v>0</v>
      </c>
      <c r="CP73" s="2">
        <f t="shared" si="67"/>
        <v>0</v>
      </c>
      <c r="CQ73" s="2">
        <f t="shared" si="67"/>
        <v>0</v>
      </c>
      <c r="CR73" s="2">
        <f t="shared" si="67"/>
        <v>0</v>
      </c>
      <c r="CS73" s="2">
        <f t="shared" si="67"/>
        <v>0</v>
      </c>
      <c r="CT73" s="2">
        <f t="shared" si="67"/>
        <v>0</v>
      </c>
      <c r="CU73" s="2">
        <f t="shared" si="67"/>
        <v>0</v>
      </c>
      <c r="CV73" s="2">
        <f t="shared" si="67"/>
        <v>0</v>
      </c>
      <c r="CW73" s="2">
        <f t="shared" si="67"/>
        <v>0</v>
      </c>
      <c r="CX73" s="2">
        <f t="shared" si="67"/>
        <v>0</v>
      </c>
      <c r="CY73" s="2">
        <f t="shared" si="67"/>
        <v>0</v>
      </c>
      <c r="CZ73" s="2">
        <f t="shared" si="67"/>
        <v>0</v>
      </c>
      <c r="DA73" s="2">
        <f t="shared" si="67"/>
        <v>0</v>
      </c>
      <c r="DB73" s="2">
        <f t="shared" si="67"/>
        <v>0</v>
      </c>
      <c r="DC73" s="2">
        <f t="shared" si="67"/>
        <v>0</v>
      </c>
      <c r="DD73" s="2">
        <f t="shared" si="67"/>
        <v>0</v>
      </c>
      <c r="DE73" s="2">
        <f t="shared" si="67"/>
        <v>0</v>
      </c>
      <c r="DF73" s="2">
        <f t="shared" si="67"/>
        <v>0</v>
      </c>
      <c r="DG73" s="3">
        <f aca="true" t="shared" si="68" ref="DG73:EL73">DG101</f>
        <v>0</v>
      </c>
      <c r="DH73" s="3">
        <f t="shared" si="68"/>
        <v>0</v>
      </c>
      <c r="DI73" s="3">
        <f t="shared" si="68"/>
        <v>0</v>
      </c>
      <c r="DJ73" s="3">
        <f t="shared" si="68"/>
        <v>0</v>
      </c>
      <c r="DK73" s="3">
        <f t="shared" si="68"/>
        <v>0</v>
      </c>
      <c r="DL73" s="3">
        <f t="shared" si="68"/>
        <v>0</v>
      </c>
      <c r="DM73" s="3">
        <f t="shared" si="68"/>
        <v>0</v>
      </c>
      <c r="DN73" s="3">
        <f t="shared" si="68"/>
        <v>0</v>
      </c>
      <c r="DO73" s="3">
        <f t="shared" si="68"/>
        <v>0</v>
      </c>
      <c r="DP73" s="3">
        <f t="shared" si="68"/>
        <v>0</v>
      </c>
      <c r="DQ73" s="3">
        <f t="shared" si="68"/>
        <v>0</v>
      </c>
      <c r="DR73" s="3">
        <f t="shared" si="68"/>
        <v>0</v>
      </c>
      <c r="DS73" s="3">
        <f t="shared" si="68"/>
        <v>0</v>
      </c>
      <c r="DT73" s="3">
        <f t="shared" si="68"/>
        <v>0</v>
      </c>
      <c r="DU73" s="3">
        <f t="shared" si="68"/>
        <v>0</v>
      </c>
      <c r="DV73" s="3">
        <f t="shared" si="68"/>
        <v>0</v>
      </c>
      <c r="DW73" s="3">
        <f t="shared" si="68"/>
        <v>0</v>
      </c>
      <c r="DX73" s="3">
        <f t="shared" si="68"/>
        <v>0</v>
      </c>
      <c r="DY73" s="3">
        <f t="shared" si="68"/>
        <v>0</v>
      </c>
      <c r="DZ73" s="3">
        <f t="shared" si="68"/>
        <v>0</v>
      </c>
      <c r="EA73" s="3">
        <f t="shared" si="68"/>
        <v>0</v>
      </c>
      <c r="EB73" s="3">
        <f t="shared" si="68"/>
        <v>0</v>
      </c>
      <c r="EC73" s="3">
        <f t="shared" si="68"/>
        <v>0</v>
      </c>
      <c r="ED73" s="3">
        <f t="shared" si="68"/>
        <v>0</v>
      </c>
      <c r="EE73" s="3">
        <f t="shared" si="68"/>
        <v>0</v>
      </c>
      <c r="EF73" s="3">
        <f t="shared" si="68"/>
        <v>0</v>
      </c>
      <c r="EG73" s="3">
        <f t="shared" si="68"/>
        <v>0</v>
      </c>
      <c r="EH73" s="3">
        <f t="shared" si="68"/>
        <v>0</v>
      </c>
      <c r="EI73" s="3">
        <f t="shared" si="68"/>
        <v>0</v>
      </c>
      <c r="EJ73" s="3">
        <f t="shared" si="68"/>
        <v>0</v>
      </c>
      <c r="EK73" s="3">
        <f t="shared" si="68"/>
        <v>0</v>
      </c>
      <c r="EL73" s="3">
        <f t="shared" si="68"/>
        <v>0</v>
      </c>
      <c r="EM73" s="3">
        <f aca="true" t="shared" si="69" ref="EM73:FR73">EM101</f>
        <v>0</v>
      </c>
      <c r="EN73" s="3">
        <f t="shared" si="69"/>
        <v>0</v>
      </c>
      <c r="EO73" s="3">
        <f t="shared" si="69"/>
        <v>0</v>
      </c>
      <c r="EP73" s="3">
        <f t="shared" si="69"/>
        <v>0</v>
      </c>
      <c r="EQ73" s="3">
        <f t="shared" si="69"/>
        <v>0</v>
      </c>
      <c r="ER73" s="3">
        <f t="shared" si="69"/>
        <v>0</v>
      </c>
      <c r="ES73" s="3">
        <f t="shared" si="69"/>
        <v>0</v>
      </c>
      <c r="ET73" s="3">
        <f t="shared" si="69"/>
        <v>0</v>
      </c>
      <c r="EU73" s="3">
        <f t="shared" si="69"/>
        <v>0</v>
      </c>
      <c r="EV73" s="3">
        <f t="shared" si="69"/>
        <v>0</v>
      </c>
      <c r="EW73" s="3">
        <f t="shared" si="69"/>
        <v>0</v>
      </c>
      <c r="EX73" s="3">
        <f t="shared" si="69"/>
        <v>0</v>
      </c>
      <c r="EY73" s="3">
        <f t="shared" si="69"/>
        <v>0</v>
      </c>
      <c r="EZ73" s="3">
        <f t="shared" si="69"/>
        <v>0</v>
      </c>
      <c r="FA73" s="3">
        <f t="shared" si="69"/>
        <v>0</v>
      </c>
      <c r="FB73" s="3">
        <f t="shared" si="69"/>
        <v>0</v>
      </c>
      <c r="FC73" s="3">
        <f t="shared" si="69"/>
        <v>0</v>
      </c>
      <c r="FD73" s="3">
        <f t="shared" si="69"/>
        <v>0</v>
      </c>
      <c r="FE73" s="3">
        <f t="shared" si="69"/>
        <v>0</v>
      </c>
      <c r="FF73" s="3">
        <f t="shared" si="69"/>
        <v>0</v>
      </c>
      <c r="FG73" s="3">
        <f t="shared" si="69"/>
        <v>0</v>
      </c>
      <c r="FH73" s="3">
        <f t="shared" si="69"/>
        <v>0</v>
      </c>
      <c r="FI73" s="3">
        <f t="shared" si="69"/>
        <v>0</v>
      </c>
      <c r="FJ73" s="3">
        <f t="shared" si="69"/>
        <v>0</v>
      </c>
      <c r="FK73" s="3">
        <f t="shared" si="69"/>
        <v>0</v>
      </c>
      <c r="FL73" s="3">
        <f t="shared" si="69"/>
        <v>0</v>
      </c>
      <c r="FM73" s="3">
        <f t="shared" si="69"/>
        <v>0</v>
      </c>
      <c r="FN73" s="3">
        <f t="shared" si="69"/>
        <v>0</v>
      </c>
      <c r="FO73" s="3">
        <f t="shared" si="69"/>
        <v>0</v>
      </c>
      <c r="FP73" s="3">
        <f t="shared" si="69"/>
        <v>0</v>
      </c>
      <c r="FQ73" s="3">
        <f t="shared" si="69"/>
        <v>0</v>
      </c>
      <c r="FR73" s="3">
        <f t="shared" si="69"/>
        <v>0</v>
      </c>
      <c r="FS73" s="3">
        <f aca="true" t="shared" si="70" ref="FS73:GX73">FS101</f>
        <v>0</v>
      </c>
      <c r="FT73" s="3">
        <f t="shared" si="70"/>
        <v>0</v>
      </c>
      <c r="FU73" s="3">
        <f t="shared" si="70"/>
        <v>0</v>
      </c>
      <c r="FV73" s="3">
        <f t="shared" si="70"/>
        <v>0</v>
      </c>
      <c r="FW73" s="3">
        <f t="shared" si="70"/>
        <v>0</v>
      </c>
      <c r="FX73" s="3">
        <f t="shared" si="70"/>
        <v>0</v>
      </c>
      <c r="FY73" s="3">
        <f t="shared" si="70"/>
        <v>0</v>
      </c>
      <c r="FZ73" s="3">
        <f t="shared" si="70"/>
        <v>0</v>
      </c>
      <c r="GA73" s="3">
        <f t="shared" si="70"/>
        <v>0</v>
      </c>
      <c r="GB73" s="3">
        <f t="shared" si="70"/>
        <v>0</v>
      </c>
      <c r="GC73" s="3">
        <f t="shared" si="70"/>
        <v>0</v>
      </c>
      <c r="GD73" s="3">
        <f t="shared" si="70"/>
        <v>0</v>
      </c>
      <c r="GE73" s="3">
        <f t="shared" si="70"/>
        <v>0</v>
      </c>
      <c r="GF73" s="3">
        <f t="shared" si="70"/>
        <v>0</v>
      </c>
      <c r="GG73" s="3">
        <f t="shared" si="70"/>
        <v>0</v>
      </c>
      <c r="GH73" s="3">
        <f t="shared" si="70"/>
        <v>0</v>
      </c>
      <c r="GI73" s="3">
        <f t="shared" si="70"/>
        <v>0</v>
      </c>
      <c r="GJ73" s="3">
        <f t="shared" si="70"/>
        <v>0</v>
      </c>
      <c r="GK73" s="3">
        <f t="shared" si="70"/>
        <v>0</v>
      </c>
      <c r="GL73" s="3">
        <f t="shared" si="70"/>
        <v>0</v>
      </c>
      <c r="GM73" s="3">
        <f t="shared" si="70"/>
        <v>0</v>
      </c>
      <c r="GN73" s="3">
        <f t="shared" si="70"/>
        <v>0</v>
      </c>
      <c r="GO73" s="3">
        <f t="shared" si="70"/>
        <v>0</v>
      </c>
      <c r="GP73" s="3">
        <f t="shared" si="70"/>
        <v>0</v>
      </c>
      <c r="GQ73" s="3">
        <f t="shared" si="70"/>
        <v>0</v>
      </c>
      <c r="GR73" s="3">
        <f t="shared" si="70"/>
        <v>0</v>
      </c>
      <c r="GS73" s="3">
        <f t="shared" si="70"/>
        <v>0</v>
      </c>
      <c r="GT73" s="3">
        <f t="shared" si="70"/>
        <v>0</v>
      </c>
      <c r="GU73" s="3">
        <f t="shared" si="70"/>
        <v>0</v>
      </c>
      <c r="GV73" s="3">
        <f t="shared" si="70"/>
        <v>0</v>
      </c>
      <c r="GW73" s="3">
        <f t="shared" si="70"/>
        <v>0</v>
      </c>
      <c r="GX73" s="3">
        <f t="shared" si="70"/>
        <v>0</v>
      </c>
    </row>
    <row r="75" spans="1:245" ht="12.75">
      <c r="A75">
        <v>17</v>
      </c>
      <c r="B75">
        <v>1</v>
      </c>
      <c r="C75">
        <f>ROW(SmtRes!A37)</f>
        <v>37</v>
      </c>
      <c r="D75">
        <f>ROW(EtalonRes!A37)</f>
        <v>37</v>
      </c>
      <c r="E75" t="s">
        <v>134</v>
      </c>
      <c r="F75" t="s">
        <v>135</v>
      </c>
      <c r="G75" t="s">
        <v>136</v>
      </c>
      <c r="H75" t="s">
        <v>137</v>
      </c>
      <c r="I75">
        <v>0.2</v>
      </c>
      <c r="J75">
        <v>0</v>
      </c>
      <c r="O75">
        <f aca="true" t="shared" si="71" ref="O75:O99">ROUND(CP75,2)</f>
        <v>1114.84</v>
      </c>
      <c r="P75">
        <f aca="true" t="shared" si="72" ref="P75:P99">ROUND(CQ75*I75,2)</f>
        <v>773.83</v>
      </c>
      <c r="Q75">
        <f aca="true" t="shared" si="73" ref="Q75:Q99">ROUND(CR75*I75,2)</f>
        <v>100.75</v>
      </c>
      <c r="R75">
        <f aca="true" t="shared" si="74" ref="R75:R99">ROUND(CS75*I75,2)</f>
        <v>30.11</v>
      </c>
      <c r="S75">
        <f aca="true" t="shared" si="75" ref="S75:S99">ROUND(CT75*I75,2)</f>
        <v>240.26</v>
      </c>
      <c r="T75">
        <f aca="true" t="shared" si="76" ref="T75:T99">ROUND(CU75*I75,2)</f>
        <v>0</v>
      </c>
      <c r="U75">
        <f aca="true" t="shared" si="77" ref="U75:U99">CV75*I75</f>
        <v>1.5525000000000002</v>
      </c>
      <c r="V75">
        <f aca="true" t="shared" si="78" ref="V75:V99">CW75*I75</f>
        <v>0.125</v>
      </c>
      <c r="W75">
        <f aca="true" t="shared" si="79" ref="W75:W99">ROUND(CX75*I75,2)</f>
        <v>0</v>
      </c>
      <c r="X75">
        <f aca="true" t="shared" si="80" ref="X75:X99">ROUND(CY75,2)</f>
        <v>297.41</v>
      </c>
      <c r="Y75">
        <f aca="true" t="shared" si="81" ref="Y75:Y99">ROUND(CZ75,2)</f>
        <v>183.85</v>
      </c>
      <c r="AA75">
        <v>51669678</v>
      </c>
      <c r="AB75">
        <f aca="true" t="shared" si="82" ref="AB75:AB99">ROUND((AC75+AD75+AF75),2)</f>
        <v>1137.13</v>
      </c>
      <c r="AC75">
        <f aca="true" t="shared" si="83" ref="AC75:AC99">ROUND((ES75),2)</f>
        <v>952.99</v>
      </c>
      <c r="AD75">
        <f>ROUND((((((ET75*1.25)*1.25))-(((EU75*1.25)*1.25)))+AE75),2)</f>
        <v>61.81</v>
      </c>
      <c r="AE75">
        <f>ROUND((((EU75*1.25)*1.25)),2)</f>
        <v>15.33</v>
      </c>
      <c r="AF75">
        <f>ROUND((((EV75*1.15)*1.25)),2)</f>
        <v>122.33</v>
      </c>
      <c r="AG75">
        <f aca="true" t="shared" si="84" ref="AG75:AG99">ROUND((AP75),2)</f>
        <v>0</v>
      </c>
      <c r="AH75">
        <f>(((EW75*1.15)*1.25))</f>
        <v>7.7625</v>
      </c>
      <c r="AI75">
        <f>(((EX75*1.25)*1.25))</f>
        <v>0.625</v>
      </c>
      <c r="AJ75">
        <f aca="true" t="shared" si="85" ref="AJ75:AJ99">(AS75)</f>
        <v>0</v>
      </c>
      <c r="AK75">
        <v>1077.65</v>
      </c>
      <c r="AL75">
        <v>952.99</v>
      </c>
      <c r="AM75">
        <v>39.56</v>
      </c>
      <c r="AN75">
        <v>9.81</v>
      </c>
      <c r="AO75">
        <v>85.1</v>
      </c>
      <c r="AP75">
        <v>0</v>
      </c>
      <c r="AQ75">
        <v>5.4</v>
      </c>
      <c r="AR75">
        <v>0.4</v>
      </c>
      <c r="AS75">
        <v>0</v>
      </c>
      <c r="AT75">
        <v>110</v>
      </c>
      <c r="AU75">
        <v>68</v>
      </c>
      <c r="AV75">
        <v>1</v>
      </c>
      <c r="AW75">
        <v>1</v>
      </c>
      <c r="AZ75">
        <v>1</v>
      </c>
      <c r="BA75">
        <v>9.82</v>
      </c>
      <c r="BB75">
        <v>8.15</v>
      </c>
      <c r="BC75">
        <v>4.06</v>
      </c>
      <c r="BH75">
        <v>0</v>
      </c>
      <c r="BI75">
        <v>1</v>
      </c>
      <c r="BJ75" t="s">
        <v>138</v>
      </c>
      <c r="BM75">
        <v>8001</v>
      </c>
      <c r="BN75">
        <v>0</v>
      </c>
      <c r="BO75" t="s">
        <v>135</v>
      </c>
      <c r="BP75">
        <v>1</v>
      </c>
      <c r="BQ75">
        <v>2</v>
      </c>
      <c r="BR75">
        <v>0</v>
      </c>
      <c r="BS75">
        <v>9.82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122</v>
      </c>
      <c r="CA75">
        <v>80</v>
      </c>
      <c r="CE75">
        <v>0</v>
      </c>
      <c r="CF75">
        <v>0</v>
      </c>
      <c r="CG75">
        <v>0</v>
      </c>
      <c r="CM75">
        <v>0</v>
      </c>
      <c r="CN75" t="s">
        <v>721</v>
      </c>
      <c r="CO75">
        <v>0</v>
      </c>
      <c r="CP75">
        <f aca="true" t="shared" si="86" ref="CP75:CP99">(P75+Q75+S75)</f>
        <v>1114.8400000000001</v>
      </c>
      <c r="CQ75">
        <f aca="true" t="shared" si="87" ref="CQ75:CQ99">AC75*BC75</f>
        <v>3869.1393999999996</v>
      </c>
      <c r="CR75">
        <f aca="true" t="shared" si="88" ref="CR75:CR99">AD75*BB75</f>
        <v>503.7515</v>
      </c>
      <c r="CS75">
        <f aca="true" t="shared" si="89" ref="CS75:CS99">AE75*BS75</f>
        <v>150.5406</v>
      </c>
      <c r="CT75">
        <f aca="true" t="shared" si="90" ref="CT75:CT99">AF75*BA75</f>
        <v>1201.2806</v>
      </c>
      <c r="CU75">
        <f aca="true" t="shared" si="91" ref="CU75:CU99">AG75</f>
        <v>0</v>
      </c>
      <c r="CV75">
        <f aca="true" t="shared" si="92" ref="CV75:CV99">AH75</f>
        <v>7.7625</v>
      </c>
      <c r="CW75">
        <f aca="true" t="shared" si="93" ref="CW75:CW99">AI75</f>
        <v>0.625</v>
      </c>
      <c r="CX75">
        <f aca="true" t="shared" si="94" ref="CX75:CX99">AJ75</f>
        <v>0</v>
      </c>
      <c r="CY75">
        <f aca="true" t="shared" si="95" ref="CY75:CY99">(((S75+R75)*AT75)/100)</f>
        <v>297.407</v>
      </c>
      <c r="CZ75">
        <f aca="true" t="shared" si="96" ref="CZ75:CZ99">(((S75+R75)*AU75)/100)</f>
        <v>183.8516</v>
      </c>
      <c r="DE75" t="s">
        <v>139</v>
      </c>
      <c r="DF75" t="s">
        <v>139</v>
      </c>
      <c r="DG75" t="s">
        <v>140</v>
      </c>
      <c r="DI75" t="s">
        <v>140</v>
      </c>
      <c r="DJ75" t="s">
        <v>139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137</v>
      </c>
      <c r="DW75" t="s">
        <v>137</v>
      </c>
      <c r="DX75">
        <v>1</v>
      </c>
      <c r="EE75">
        <v>48034386</v>
      </c>
      <c r="EF75">
        <v>2</v>
      </c>
      <c r="EG75" t="s">
        <v>20</v>
      </c>
      <c r="EH75">
        <v>0</v>
      </c>
      <c r="EJ75">
        <v>1</v>
      </c>
      <c r="EK75">
        <v>8001</v>
      </c>
      <c r="EL75" t="s">
        <v>141</v>
      </c>
      <c r="EM75" t="s">
        <v>142</v>
      </c>
      <c r="EO75" t="s">
        <v>143</v>
      </c>
      <c r="EQ75">
        <v>131584</v>
      </c>
      <c r="ER75">
        <v>1077.65</v>
      </c>
      <c r="ES75">
        <v>952.99</v>
      </c>
      <c r="ET75">
        <v>39.56</v>
      </c>
      <c r="EU75">
        <v>9.81</v>
      </c>
      <c r="EV75">
        <v>85.1</v>
      </c>
      <c r="EW75">
        <v>5.4</v>
      </c>
      <c r="EX75">
        <v>0.4</v>
      </c>
      <c r="EY75">
        <v>0</v>
      </c>
      <c r="FQ75">
        <v>0</v>
      </c>
      <c r="FR75">
        <f aca="true" t="shared" si="97" ref="FR75:FR99">ROUND(IF(AND(BH75=3,BI75=3),P75,0),2)</f>
        <v>0</v>
      </c>
      <c r="FS75">
        <v>0</v>
      </c>
      <c r="FT75" t="s">
        <v>24</v>
      </c>
      <c r="FU75" t="s">
        <v>25</v>
      </c>
      <c r="FX75">
        <v>109.8</v>
      </c>
      <c r="FY75">
        <v>68</v>
      </c>
      <c r="GD75">
        <v>1</v>
      </c>
      <c r="GF75">
        <v>1617693614</v>
      </c>
      <c r="GG75">
        <v>2</v>
      </c>
      <c r="GH75">
        <v>1</v>
      </c>
      <c r="GI75">
        <v>2</v>
      </c>
      <c r="GJ75">
        <v>0</v>
      </c>
      <c r="GK75">
        <v>0</v>
      </c>
      <c r="GL75">
        <f aca="true" t="shared" si="98" ref="GL75:GL99">ROUND(IF(AND(BH75=3,BI75=3,FS75&lt;&gt;0),P75,0),2)</f>
        <v>0</v>
      </c>
      <c r="GM75">
        <f aca="true" t="shared" si="99" ref="GM75:GM99">ROUND(O75+X75+Y75,2)+GX75</f>
        <v>1596.1</v>
      </c>
      <c r="GN75">
        <f aca="true" t="shared" si="100" ref="GN75:GN99">IF(OR(BI75=0,BI75=1),ROUND(O75+X75+Y75,2),0)</f>
        <v>1596.1</v>
      </c>
      <c r="GO75">
        <f aca="true" t="shared" si="101" ref="GO75:GO99">IF(BI75=2,ROUND(O75+X75+Y75,2),0)</f>
        <v>0</v>
      </c>
      <c r="GP75">
        <f aca="true" t="shared" si="102" ref="GP75:GP99">IF(BI75=4,ROUND(O75+X75+Y75,2)+GX75,0)</f>
        <v>0</v>
      </c>
      <c r="GR75">
        <v>0</v>
      </c>
      <c r="GS75">
        <v>3</v>
      </c>
      <c r="GT75">
        <v>0</v>
      </c>
      <c r="GV75">
        <f aca="true" t="shared" si="103" ref="GV75:GV99">ROUND((GT75),2)</f>
        <v>0</v>
      </c>
      <c r="GW75">
        <v>1</v>
      </c>
      <c r="GX75">
        <f aca="true" t="shared" si="104" ref="GX75:GX99">ROUND(HC75*I75,2)</f>
        <v>0</v>
      </c>
      <c r="HA75">
        <v>0</v>
      </c>
      <c r="HB75">
        <v>0</v>
      </c>
      <c r="HC75">
        <f aca="true" t="shared" si="105" ref="HC75:HC99">GV75*GW75</f>
        <v>0</v>
      </c>
      <c r="IK75">
        <v>0</v>
      </c>
    </row>
    <row r="76" spans="1:245" ht="12.75">
      <c r="A76">
        <v>17</v>
      </c>
      <c r="B76">
        <v>1</v>
      </c>
      <c r="C76">
        <f>ROW(SmtRes!A46)</f>
        <v>46</v>
      </c>
      <c r="D76">
        <f>ROW(EtalonRes!A45)</f>
        <v>45</v>
      </c>
      <c r="E76" t="s">
        <v>144</v>
      </c>
      <c r="F76" t="s">
        <v>47</v>
      </c>
      <c r="G76" t="s">
        <v>145</v>
      </c>
      <c r="H76" t="s">
        <v>49</v>
      </c>
      <c r="I76">
        <v>19.6</v>
      </c>
      <c r="J76">
        <v>0</v>
      </c>
      <c r="O76">
        <f t="shared" si="71"/>
        <v>82258.83</v>
      </c>
      <c r="P76">
        <f t="shared" si="72"/>
        <v>15799.14</v>
      </c>
      <c r="Q76">
        <f t="shared" si="73"/>
        <v>8924.04</v>
      </c>
      <c r="R76">
        <f t="shared" si="74"/>
        <v>1106.71</v>
      </c>
      <c r="S76">
        <f t="shared" si="75"/>
        <v>57535.65</v>
      </c>
      <c r="T76">
        <f t="shared" si="76"/>
        <v>0</v>
      </c>
      <c r="U76">
        <f t="shared" si="77"/>
        <v>362.3305</v>
      </c>
      <c r="V76">
        <f t="shared" si="78"/>
        <v>4.59375</v>
      </c>
      <c r="W76">
        <f t="shared" si="79"/>
        <v>0</v>
      </c>
      <c r="X76">
        <f t="shared" si="80"/>
        <v>62160.9</v>
      </c>
      <c r="Y76">
        <f t="shared" si="81"/>
        <v>31666.87</v>
      </c>
      <c r="AA76">
        <v>51669678</v>
      </c>
      <c r="AB76">
        <f t="shared" si="82"/>
        <v>494.41</v>
      </c>
      <c r="AC76">
        <f t="shared" si="83"/>
        <v>124.78</v>
      </c>
      <c r="AD76">
        <f>ROUND((((((ET76*1.25)*1.25))-(((EU76*1.25)*1.25)))+AE76),2)</f>
        <v>70.7</v>
      </c>
      <c r="AE76">
        <f>ROUND((((EU76*1.25)*1.25)),2)</f>
        <v>5.75</v>
      </c>
      <c r="AF76">
        <f>ROUND((((EV76*1.15)*1.25)),2)</f>
        <v>298.93</v>
      </c>
      <c r="AG76">
        <f t="shared" si="84"/>
        <v>0</v>
      </c>
      <c r="AH76">
        <f>(((EW76*1.15)*1.25))</f>
        <v>18.48625</v>
      </c>
      <c r="AI76">
        <f>(((EX76*1.25)*1.25))</f>
        <v>0.234375</v>
      </c>
      <c r="AJ76">
        <f t="shared" si="85"/>
        <v>0</v>
      </c>
      <c r="AK76">
        <v>377.98</v>
      </c>
      <c r="AL76">
        <v>124.78</v>
      </c>
      <c r="AM76">
        <v>45.25</v>
      </c>
      <c r="AN76">
        <v>3.68</v>
      </c>
      <c r="AO76">
        <v>207.95</v>
      </c>
      <c r="AP76">
        <v>0</v>
      </c>
      <c r="AQ76">
        <v>12.86</v>
      </c>
      <c r="AR76">
        <v>0.15</v>
      </c>
      <c r="AS76">
        <v>0</v>
      </c>
      <c r="AT76">
        <v>106</v>
      </c>
      <c r="AU76">
        <v>54</v>
      </c>
      <c r="AV76">
        <v>1</v>
      </c>
      <c r="AW76">
        <v>1</v>
      </c>
      <c r="AZ76">
        <v>1</v>
      </c>
      <c r="BA76">
        <v>9.82</v>
      </c>
      <c r="BB76">
        <v>6.44</v>
      </c>
      <c r="BC76">
        <v>6.46</v>
      </c>
      <c r="BH76">
        <v>0</v>
      </c>
      <c r="BI76">
        <v>1</v>
      </c>
      <c r="BJ76" t="s">
        <v>50</v>
      </c>
      <c r="BM76">
        <v>10001</v>
      </c>
      <c r="BN76">
        <v>0</v>
      </c>
      <c r="BO76" t="s">
        <v>47</v>
      </c>
      <c r="BP76">
        <v>1</v>
      </c>
      <c r="BQ76">
        <v>2</v>
      </c>
      <c r="BR76">
        <v>0</v>
      </c>
      <c r="BS76">
        <v>9.82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118</v>
      </c>
      <c r="CA76">
        <v>63</v>
      </c>
      <c r="CE76">
        <v>0</v>
      </c>
      <c r="CF76">
        <v>0</v>
      </c>
      <c r="CG76">
        <v>0</v>
      </c>
      <c r="CM76">
        <v>0</v>
      </c>
      <c r="CN76" t="s">
        <v>721</v>
      </c>
      <c r="CO76">
        <v>0</v>
      </c>
      <c r="CP76">
        <f t="shared" si="86"/>
        <v>82258.83</v>
      </c>
      <c r="CQ76">
        <f t="shared" si="87"/>
        <v>806.0788</v>
      </c>
      <c r="CR76">
        <f t="shared" si="88"/>
        <v>455.30800000000005</v>
      </c>
      <c r="CS76">
        <f t="shared" si="89"/>
        <v>56.465</v>
      </c>
      <c r="CT76">
        <f t="shared" si="90"/>
        <v>2935.4926</v>
      </c>
      <c r="CU76">
        <f t="shared" si="91"/>
        <v>0</v>
      </c>
      <c r="CV76">
        <f t="shared" si="92"/>
        <v>18.48625</v>
      </c>
      <c r="CW76">
        <f t="shared" si="93"/>
        <v>0.234375</v>
      </c>
      <c r="CX76">
        <f t="shared" si="94"/>
        <v>0</v>
      </c>
      <c r="CY76">
        <f t="shared" si="95"/>
        <v>62160.901600000005</v>
      </c>
      <c r="CZ76">
        <f t="shared" si="96"/>
        <v>31666.8744</v>
      </c>
      <c r="DE76" t="s">
        <v>139</v>
      </c>
      <c r="DF76" t="s">
        <v>139</v>
      </c>
      <c r="DG76" t="s">
        <v>140</v>
      </c>
      <c r="DI76" t="s">
        <v>140</v>
      </c>
      <c r="DJ76" t="s">
        <v>139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49</v>
      </c>
      <c r="DW76" t="s">
        <v>49</v>
      </c>
      <c r="DX76">
        <v>1</v>
      </c>
      <c r="EE76">
        <v>48034388</v>
      </c>
      <c r="EF76">
        <v>2</v>
      </c>
      <c r="EG76" t="s">
        <v>20</v>
      </c>
      <c r="EH76">
        <v>0</v>
      </c>
      <c r="EJ76">
        <v>1</v>
      </c>
      <c r="EK76">
        <v>10001</v>
      </c>
      <c r="EL76" t="s">
        <v>53</v>
      </c>
      <c r="EM76" t="s">
        <v>54</v>
      </c>
      <c r="EO76" t="s">
        <v>143</v>
      </c>
      <c r="EQ76">
        <v>131584</v>
      </c>
      <c r="ER76">
        <v>377.98</v>
      </c>
      <c r="ES76">
        <v>124.78</v>
      </c>
      <c r="ET76">
        <v>45.25</v>
      </c>
      <c r="EU76">
        <v>3.68</v>
      </c>
      <c r="EV76">
        <v>207.95</v>
      </c>
      <c r="EW76">
        <v>12.86</v>
      </c>
      <c r="EX76">
        <v>0.15</v>
      </c>
      <c r="EY76">
        <v>0</v>
      </c>
      <c r="FQ76">
        <v>0</v>
      </c>
      <c r="FR76">
        <f t="shared" si="97"/>
        <v>0</v>
      </c>
      <c r="FS76">
        <v>0</v>
      </c>
      <c r="FT76" t="s">
        <v>24</v>
      </c>
      <c r="FU76" t="s">
        <v>25</v>
      </c>
      <c r="FX76">
        <v>106.2</v>
      </c>
      <c r="FY76">
        <v>53.55</v>
      </c>
      <c r="GD76">
        <v>1</v>
      </c>
      <c r="GF76">
        <v>1886457681</v>
      </c>
      <c r="GG76">
        <v>2</v>
      </c>
      <c r="GH76">
        <v>1</v>
      </c>
      <c r="GI76">
        <v>2</v>
      </c>
      <c r="GJ76">
        <v>0</v>
      </c>
      <c r="GK76">
        <v>0</v>
      </c>
      <c r="GL76">
        <f t="shared" si="98"/>
        <v>0</v>
      </c>
      <c r="GM76">
        <f t="shared" si="99"/>
        <v>176086.6</v>
      </c>
      <c r="GN76">
        <f t="shared" si="100"/>
        <v>176086.6</v>
      </c>
      <c r="GO76">
        <f t="shared" si="101"/>
        <v>0</v>
      </c>
      <c r="GP76">
        <f t="shared" si="102"/>
        <v>0</v>
      </c>
      <c r="GR76">
        <v>0</v>
      </c>
      <c r="GS76">
        <v>3</v>
      </c>
      <c r="GT76">
        <v>0</v>
      </c>
      <c r="GV76">
        <f t="shared" si="103"/>
        <v>0</v>
      </c>
      <c r="GW76">
        <v>1</v>
      </c>
      <c r="GX76">
        <f t="shared" si="104"/>
        <v>0</v>
      </c>
      <c r="HA76">
        <v>0</v>
      </c>
      <c r="HB76">
        <v>0</v>
      </c>
      <c r="HC76">
        <f t="shared" si="105"/>
        <v>0</v>
      </c>
      <c r="IK76">
        <v>0</v>
      </c>
    </row>
    <row r="77" spans="1:245" ht="12.75">
      <c r="A77">
        <v>18</v>
      </c>
      <c r="B77">
        <v>1</v>
      </c>
      <c r="C77">
        <v>45</v>
      </c>
      <c r="E77" t="s">
        <v>146</v>
      </c>
      <c r="F77" t="s">
        <v>147</v>
      </c>
      <c r="G77" t="s">
        <v>148</v>
      </c>
      <c r="H77" t="s">
        <v>149</v>
      </c>
      <c r="I77">
        <f>I76*J77</f>
        <v>19.6</v>
      </c>
      <c r="J77">
        <v>1</v>
      </c>
      <c r="O77">
        <f t="shared" si="71"/>
        <v>241935.19</v>
      </c>
      <c r="P77">
        <f t="shared" si="72"/>
        <v>241935.19</v>
      </c>
      <c r="Q77">
        <f t="shared" si="73"/>
        <v>0</v>
      </c>
      <c r="R77">
        <f t="shared" si="74"/>
        <v>0</v>
      </c>
      <c r="S77">
        <f t="shared" si="75"/>
        <v>0</v>
      </c>
      <c r="T77">
        <f t="shared" si="76"/>
        <v>0</v>
      </c>
      <c r="U77">
        <f t="shared" si="77"/>
        <v>0</v>
      </c>
      <c r="V77">
        <f t="shared" si="78"/>
        <v>0</v>
      </c>
      <c r="W77">
        <f t="shared" si="79"/>
        <v>0</v>
      </c>
      <c r="X77">
        <f t="shared" si="80"/>
        <v>0</v>
      </c>
      <c r="Y77">
        <f t="shared" si="81"/>
        <v>0</v>
      </c>
      <c r="AA77">
        <v>51669678</v>
      </c>
      <c r="AB77">
        <f t="shared" si="82"/>
        <v>2593.2</v>
      </c>
      <c r="AC77">
        <f t="shared" si="83"/>
        <v>2593.2</v>
      </c>
      <c r="AD77">
        <f>ROUND((((ET77)-(EU77))+AE77),2)</f>
        <v>0</v>
      </c>
      <c r="AE77">
        <f>ROUND((EU77),2)</f>
        <v>0</v>
      </c>
      <c r="AF77">
        <f>ROUND((EV77),2)</f>
        <v>0</v>
      </c>
      <c r="AG77">
        <f t="shared" si="84"/>
        <v>0</v>
      </c>
      <c r="AH77">
        <f>(EW77)</f>
        <v>0</v>
      </c>
      <c r="AI77">
        <f>(EX77)</f>
        <v>0</v>
      </c>
      <c r="AJ77">
        <f t="shared" si="85"/>
        <v>0</v>
      </c>
      <c r="AK77">
        <v>2593.2</v>
      </c>
      <c r="AL77">
        <v>2593.2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4.76</v>
      </c>
      <c r="BH77">
        <v>3</v>
      </c>
      <c r="BI77">
        <v>1</v>
      </c>
      <c r="BJ77" t="s">
        <v>150</v>
      </c>
      <c r="BM77">
        <v>500001</v>
      </c>
      <c r="BN77">
        <v>0</v>
      </c>
      <c r="BO77" t="s">
        <v>147</v>
      </c>
      <c r="BP77">
        <v>1</v>
      </c>
      <c r="BQ77">
        <v>8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O77">
        <v>0</v>
      </c>
      <c r="CP77">
        <f t="shared" si="86"/>
        <v>241935.19</v>
      </c>
      <c r="CQ77">
        <f t="shared" si="87"/>
        <v>12343.631999999998</v>
      </c>
      <c r="CR77">
        <f t="shared" si="88"/>
        <v>0</v>
      </c>
      <c r="CS77">
        <f t="shared" si="89"/>
        <v>0</v>
      </c>
      <c r="CT77">
        <f t="shared" si="90"/>
        <v>0</v>
      </c>
      <c r="CU77">
        <f t="shared" si="91"/>
        <v>0</v>
      </c>
      <c r="CV77">
        <f t="shared" si="92"/>
        <v>0</v>
      </c>
      <c r="CW77">
        <f t="shared" si="93"/>
        <v>0</v>
      </c>
      <c r="CX77">
        <f t="shared" si="94"/>
        <v>0</v>
      </c>
      <c r="CY77">
        <f t="shared" si="95"/>
        <v>0</v>
      </c>
      <c r="CZ77">
        <f t="shared" si="96"/>
        <v>0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149</v>
      </c>
      <c r="DW77" t="s">
        <v>149</v>
      </c>
      <c r="DX77">
        <v>1</v>
      </c>
      <c r="EE77">
        <v>48034321</v>
      </c>
      <c r="EF77">
        <v>8</v>
      </c>
      <c r="EG77" t="s">
        <v>151</v>
      </c>
      <c r="EH77">
        <v>0</v>
      </c>
      <c r="EJ77">
        <v>1</v>
      </c>
      <c r="EK77">
        <v>500001</v>
      </c>
      <c r="EL77" t="s">
        <v>152</v>
      </c>
      <c r="EM77" t="s">
        <v>153</v>
      </c>
      <c r="EQ77">
        <v>512</v>
      </c>
      <c r="ER77">
        <v>2593.2</v>
      </c>
      <c r="ES77">
        <v>2593.2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97"/>
        <v>0</v>
      </c>
      <c r="FS77">
        <v>0</v>
      </c>
      <c r="FX77">
        <v>0</v>
      </c>
      <c r="FY77">
        <v>0</v>
      </c>
      <c r="GD77">
        <v>1</v>
      </c>
      <c r="GF77">
        <v>-324964049</v>
      </c>
      <c r="GG77">
        <v>2</v>
      </c>
      <c r="GH77">
        <v>1</v>
      </c>
      <c r="GI77">
        <v>2</v>
      </c>
      <c r="GJ77">
        <v>0</v>
      </c>
      <c r="GK77">
        <v>0</v>
      </c>
      <c r="GL77">
        <f t="shared" si="98"/>
        <v>0</v>
      </c>
      <c r="GM77">
        <f t="shared" si="99"/>
        <v>241935.19</v>
      </c>
      <c r="GN77">
        <f t="shared" si="100"/>
        <v>241935.19</v>
      </c>
      <c r="GO77">
        <f t="shared" si="101"/>
        <v>0</v>
      </c>
      <c r="GP77">
        <f t="shared" si="102"/>
        <v>0</v>
      </c>
      <c r="GR77">
        <v>0</v>
      </c>
      <c r="GS77">
        <v>3</v>
      </c>
      <c r="GT77">
        <v>0</v>
      </c>
      <c r="GV77">
        <f t="shared" si="103"/>
        <v>0</v>
      </c>
      <c r="GW77">
        <v>1</v>
      </c>
      <c r="GX77">
        <f t="shared" si="104"/>
        <v>0</v>
      </c>
      <c r="HA77">
        <v>0</v>
      </c>
      <c r="HB77">
        <v>0</v>
      </c>
      <c r="HC77">
        <f t="shared" si="105"/>
        <v>0</v>
      </c>
      <c r="IK77">
        <v>0</v>
      </c>
    </row>
    <row r="78" spans="1:245" ht="12.75">
      <c r="A78">
        <v>17</v>
      </c>
      <c r="B78">
        <v>1</v>
      </c>
      <c r="C78">
        <f>ROW(SmtRes!A53)</f>
        <v>53</v>
      </c>
      <c r="D78">
        <f>ROW(EtalonRes!A51)</f>
        <v>51</v>
      </c>
      <c r="E78" t="s">
        <v>154</v>
      </c>
      <c r="F78" t="s">
        <v>155</v>
      </c>
      <c r="G78" t="s">
        <v>156</v>
      </c>
      <c r="H78" t="s">
        <v>157</v>
      </c>
      <c r="I78">
        <v>7</v>
      </c>
      <c r="J78">
        <v>0</v>
      </c>
      <c r="O78">
        <f t="shared" si="71"/>
        <v>179849.08</v>
      </c>
      <c r="P78">
        <f t="shared" si="72"/>
        <v>135652.1</v>
      </c>
      <c r="Q78">
        <f t="shared" si="73"/>
        <v>3007.97</v>
      </c>
      <c r="R78">
        <f t="shared" si="74"/>
        <v>927.3</v>
      </c>
      <c r="S78">
        <f t="shared" si="75"/>
        <v>41189.01</v>
      </c>
      <c r="T78">
        <f t="shared" si="76"/>
        <v>0</v>
      </c>
      <c r="U78">
        <f t="shared" si="77"/>
        <v>278.51249999999993</v>
      </c>
      <c r="V78">
        <f t="shared" si="78"/>
        <v>3.8500000000000005</v>
      </c>
      <c r="W78">
        <f t="shared" si="79"/>
        <v>0</v>
      </c>
      <c r="X78">
        <f t="shared" si="80"/>
        <v>34956.54</v>
      </c>
      <c r="Y78">
        <f t="shared" si="81"/>
        <v>27375.6</v>
      </c>
      <c r="AA78">
        <v>51669678</v>
      </c>
      <c r="AB78">
        <f t="shared" si="82"/>
        <v>2438.38</v>
      </c>
      <c r="AC78">
        <f t="shared" si="83"/>
        <v>1769.76</v>
      </c>
      <c r="AD78">
        <f>ROUND(((((ET78*1.25))-((EU78*1.25)))+AE78),2)</f>
        <v>69.42</v>
      </c>
      <c r="AE78">
        <f>ROUND(((EU78*1.25)),2)</f>
        <v>13.49</v>
      </c>
      <c r="AF78">
        <f>ROUND(((EV78*1.25)),2)</f>
        <v>599.2</v>
      </c>
      <c r="AG78">
        <f t="shared" si="84"/>
        <v>0</v>
      </c>
      <c r="AH78">
        <f>((EW78*1.25))</f>
        <v>39.787499999999994</v>
      </c>
      <c r="AI78">
        <f>((EX78*1.25))</f>
        <v>0.55</v>
      </c>
      <c r="AJ78">
        <f t="shared" si="85"/>
        <v>0</v>
      </c>
      <c r="AK78">
        <v>2304.65</v>
      </c>
      <c r="AL78">
        <v>1769.76</v>
      </c>
      <c r="AM78">
        <v>55.53</v>
      </c>
      <c r="AN78">
        <v>10.79</v>
      </c>
      <c r="AO78">
        <v>479.36</v>
      </c>
      <c r="AP78">
        <v>0</v>
      </c>
      <c r="AQ78">
        <v>31.83</v>
      </c>
      <c r="AR78">
        <v>0.44</v>
      </c>
      <c r="AS78">
        <v>0</v>
      </c>
      <c r="AT78">
        <v>83</v>
      </c>
      <c r="AU78">
        <v>65</v>
      </c>
      <c r="AV78">
        <v>1</v>
      </c>
      <c r="AW78">
        <v>1</v>
      </c>
      <c r="AZ78">
        <v>1</v>
      </c>
      <c r="BA78">
        <v>9.82</v>
      </c>
      <c r="BB78">
        <v>6.19</v>
      </c>
      <c r="BC78">
        <v>10.95</v>
      </c>
      <c r="BH78">
        <v>0</v>
      </c>
      <c r="BI78">
        <v>1</v>
      </c>
      <c r="BJ78" t="s">
        <v>158</v>
      </c>
      <c r="BM78">
        <v>58001</v>
      </c>
      <c r="BN78">
        <v>0</v>
      </c>
      <c r="BO78" t="s">
        <v>155</v>
      </c>
      <c r="BP78">
        <v>1</v>
      </c>
      <c r="BQ78">
        <v>6</v>
      </c>
      <c r="BR78">
        <v>0</v>
      </c>
      <c r="BS78">
        <v>9.82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83</v>
      </c>
      <c r="CA78">
        <v>65</v>
      </c>
      <c r="CE78">
        <v>0</v>
      </c>
      <c r="CF78">
        <v>0</v>
      </c>
      <c r="CG78">
        <v>0</v>
      </c>
      <c r="CM78">
        <v>0</v>
      </c>
      <c r="CN78" t="s">
        <v>18</v>
      </c>
      <c r="CO78">
        <v>0</v>
      </c>
      <c r="CP78">
        <f t="shared" si="86"/>
        <v>179849.08000000002</v>
      </c>
      <c r="CQ78">
        <f t="shared" si="87"/>
        <v>19378.872</v>
      </c>
      <c r="CR78">
        <f t="shared" si="88"/>
        <v>429.70980000000003</v>
      </c>
      <c r="CS78">
        <f t="shared" si="89"/>
        <v>132.4718</v>
      </c>
      <c r="CT78">
        <f t="shared" si="90"/>
        <v>5884.144</v>
      </c>
      <c r="CU78">
        <f t="shared" si="91"/>
        <v>0</v>
      </c>
      <c r="CV78">
        <f t="shared" si="92"/>
        <v>39.787499999999994</v>
      </c>
      <c r="CW78">
        <f t="shared" si="93"/>
        <v>0.55</v>
      </c>
      <c r="CX78">
        <f t="shared" si="94"/>
        <v>0</v>
      </c>
      <c r="CY78">
        <f t="shared" si="95"/>
        <v>34956.5373</v>
      </c>
      <c r="CZ78">
        <f t="shared" si="96"/>
        <v>27375.601500000004</v>
      </c>
      <c r="DE78" t="s">
        <v>19</v>
      </c>
      <c r="DF78" t="s">
        <v>19</v>
      </c>
      <c r="DG78" t="s">
        <v>19</v>
      </c>
      <c r="DI78" t="s">
        <v>19</v>
      </c>
      <c r="DJ78" t="s">
        <v>19</v>
      </c>
      <c r="DN78">
        <v>0</v>
      </c>
      <c r="DO78">
        <v>0</v>
      </c>
      <c r="DP78">
        <v>1</v>
      </c>
      <c r="DQ78">
        <v>1</v>
      </c>
      <c r="DU78">
        <v>1005</v>
      </c>
      <c r="DV78" t="s">
        <v>157</v>
      </c>
      <c r="DW78" t="s">
        <v>157</v>
      </c>
      <c r="DX78">
        <v>100</v>
      </c>
      <c r="EE78">
        <v>48034468</v>
      </c>
      <c r="EF78">
        <v>6</v>
      </c>
      <c r="EG78" t="s">
        <v>31</v>
      </c>
      <c r="EH78">
        <v>0</v>
      </c>
      <c r="EJ78">
        <v>1</v>
      </c>
      <c r="EK78">
        <v>58001</v>
      </c>
      <c r="EL78" t="s">
        <v>32</v>
      </c>
      <c r="EM78" t="s">
        <v>33</v>
      </c>
      <c r="EO78" t="s">
        <v>23</v>
      </c>
      <c r="EQ78">
        <v>131584</v>
      </c>
      <c r="ER78">
        <v>2304.65</v>
      </c>
      <c r="ES78">
        <v>1769.76</v>
      </c>
      <c r="ET78">
        <v>55.53</v>
      </c>
      <c r="EU78">
        <v>10.79</v>
      </c>
      <c r="EV78">
        <v>479.36</v>
      </c>
      <c r="EW78">
        <v>31.83</v>
      </c>
      <c r="EX78">
        <v>0.44</v>
      </c>
      <c r="EY78">
        <v>0</v>
      </c>
      <c r="FQ78">
        <v>0</v>
      </c>
      <c r="FR78">
        <f t="shared" si="97"/>
        <v>0</v>
      </c>
      <c r="FS78">
        <v>0</v>
      </c>
      <c r="FX78">
        <v>83</v>
      </c>
      <c r="FY78">
        <v>65</v>
      </c>
      <c r="GD78">
        <v>1</v>
      </c>
      <c r="GF78">
        <v>210932495</v>
      </c>
      <c r="GG78">
        <v>2</v>
      </c>
      <c r="GH78">
        <v>1</v>
      </c>
      <c r="GI78">
        <v>2</v>
      </c>
      <c r="GJ78">
        <v>0</v>
      </c>
      <c r="GK78">
        <v>0</v>
      </c>
      <c r="GL78">
        <f t="shared" si="98"/>
        <v>0</v>
      </c>
      <c r="GM78">
        <f t="shared" si="99"/>
        <v>242181.22</v>
      </c>
      <c r="GN78">
        <f t="shared" si="100"/>
        <v>242181.22</v>
      </c>
      <c r="GO78">
        <f t="shared" si="101"/>
        <v>0</v>
      </c>
      <c r="GP78">
        <f t="shared" si="102"/>
        <v>0</v>
      </c>
      <c r="GR78">
        <v>0</v>
      </c>
      <c r="GS78">
        <v>3</v>
      </c>
      <c r="GT78">
        <v>0</v>
      </c>
      <c r="GV78">
        <f t="shared" si="103"/>
        <v>0</v>
      </c>
      <c r="GW78">
        <v>1</v>
      </c>
      <c r="GX78">
        <f t="shared" si="104"/>
        <v>0</v>
      </c>
      <c r="HA78">
        <v>0</v>
      </c>
      <c r="HB78">
        <v>0</v>
      </c>
      <c r="HC78">
        <f t="shared" si="105"/>
        <v>0</v>
      </c>
      <c r="IK78">
        <v>0</v>
      </c>
    </row>
    <row r="79" spans="1:245" ht="12.75">
      <c r="A79">
        <v>18</v>
      </c>
      <c r="B79">
        <v>1</v>
      </c>
      <c r="C79">
        <v>53</v>
      </c>
      <c r="E79" t="s">
        <v>159</v>
      </c>
      <c r="F79" t="s">
        <v>160</v>
      </c>
      <c r="G79" t="s">
        <v>161</v>
      </c>
      <c r="H79" t="s">
        <v>149</v>
      </c>
      <c r="I79">
        <f>I78*J79</f>
        <v>51.577274</v>
      </c>
      <c r="J79">
        <v>7.368182</v>
      </c>
      <c r="O79">
        <f t="shared" si="71"/>
        <v>308673.13</v>
      </c>
      <c r="P79">
        <f t="shared" si="72"/>
        <v>308673.13</v>
      </c>
      <c r="Q79">
        <f t="shared" si="73"/>
        <v>0</v>
      </c>
      <c r="R79">
        <f t="shared" si="74"/>
        <v>0</v>
      </c>
      <c r="S79">
        <f t="shared" si="75"/>
        <v>0</v>
      </c>
      <c r="T79">
        <f t="shared" si="76"/>
        <v>0</v>
      </c>
      <c r="U79">
        <f t="shared" si="77"/>
        <v>0</v>
      </c>
      <c r="V79">
        <f t="shared" si="78"/>
        <v>0</v>
      </c>
      <c r="W79">
        <f t="shared" si="79"/>
        <v>0</v>
      </c>
      <c r="X79">
        <f t="shared" si="80"/>
        <v>0</v>
      </c>
      <c r="Y79">
        <f t="shared" si="81"/>
        <v>0</v>
      </c>
      <c r="AA79">
        <v>51669678</v>
      </c>
      <c r="AB79">
        <f t="shared" si="82"/>
        <v>1431.74</v>
      </c>
      <c r="AC79">
        <f t="shared" si="83"/>
        <v>1431.74</v>
      </c>
      <c r="AD79">
        <f>ROUND((((ET79)-(EU79))+AE79),2)</f>
        <v>0</v>
      </c>
      <c r="AE79">
        <f>ROUND((EU79),2)</f>
        <v>0</v>
      </c>
      <c r="AF79">
        <f>ROUND((EV79),2)</f>
        <v>0</v>
      </c>
      <c r="AG79">
        <f t="shared" si="84"/>
        <v>0</v>
      </c>
      <c r="AH79">
        <f>(EW79)</f>
        <v>0</v>
      </c>
      <c r="AI79">
        <f>(EX79)</f>
        <v>0</v>
      </c>
      <c r="AJ79">
        <f t="shared" si="85"/>
        <v>0</v>
      </c>
      <c r="AK79">
        <v>1431.74</v>
      </c>
      <c r="AL79">
        <v>1431.74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4.18</v>
      </c>
      <c r="BH79">
        <v>3</v>
      </c>
      <c r="BI79">
        <v>1</v>
      </c>
      <c r="BJ79" t="s">
        <v>162</v>
      </c>
      <c r="BM79">
        <v>500001</v>
      </c>
      <c r="BN79">
        <v>0</v>
      </c>
      <c r="BO79" t="s">
        <v>160</v>
      </c>
      <c r="BP79">
        <v>1</v>
      </c>
      <c r="BQ79">
        <v>8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O79">
        <v>0</v>
      </c>
      <c r="CP79">
        <f t="shared" si="86"/>
        <v>308673.13</v>
      </c>
      <c r="CQ79">
        <f t="shared" si="87"/>
        <v>5984.673199999999</v>
      </c>
      <c r="CR79">
        <f t="shared" si="88"/>
        <v>0</v>
      </c>
      <c r="CS79">
        <f t="shared" si="89"/>
        <v>0</v>
      </c>
      <c r="CT79">
        <f t="shared" si="90"/>
        <v>0</v>
      </c>
      <c r="CU79">
        <f t="shared" si="91"/>
        <v>0</v>
      </c>
      <c r="CV79">
        <f t="shared" si="92"/>
        <v>0</v>
      </c>
      <c r="CW79">
        <f t="shared" si="93"/>
        <v>0</v>
      </c>
      <c r="CX79">
        <f t="shared" si="94"/>
        <v>0</v>
      </c>
      <c r="CY79">
        <f t="shared" si="95"/>
        <v>0</v>
      </c>
      <c r="CZ79">
        <f t="shared" si="96"/>
        <v>0</v>
      </c>
      <c r="DN79">
        <v>0</v>
      </c>
      <c r="DO79">
        <v>0</v>
      </c>
      <c r="DP79">
        <v>1</v>
      </c>
      <c r="DQ79">
        <v>1</v>
      </c>
      <c r="DU79">
        <v>1007</v>
      </c>
      <c r="DV79" t="s">
        <v>149</v>
      </c>
      <c r="DW79" t="s">
        <v>149</v>
      </c>
      <c r="DX79">
        <v>1</v>
      </c>
      <c r="EE79">
        <v>48034321</v>
      </c>
      <c r="EF79">
        <v>8</v>
      </c>
      <c r="EG79" t="s">
        <v>151</v>
      </c>
      <c r="EH79">
        <v>0</v>
      </c>
      <c r="EJ79">
        <v>1</v>
      </c>
      <c r="EK79">
        <v>500001</v>
      </c>
      <c r="EL79" t="s">
        <v>152</v>
      </c>
      <c r="EM79" t="s">
        <v>153</v>
      </c>
      <c r="EQ79">
        <v>0</v>
      </c>
      <c r="ER79">
        <v>1431.74</v>
      </c>
      <c r="ES79">
        <v>1431.74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97"/>
        <v>0</v>
      </c>
      <c r="FS79">
        <v>0</v>
      </c>
      <c r="FX79">
        <v>0</v>
      </c>
      <c r="FY79">
        <v>0</v>
      </c>
      <c r="GD79">
        <v>1</v>
      </c>
      <c r="GF79">
        <v>397073329</v>
      </c>
      <c r="GG79">
        <v>2</v>
      </c>
      <c r="GH79">
        <v>1</v>
      </c>
      <c r="GI79">
        <v>2</v>
      </c>
      <c r="GJ79">
        <v>0</v>
      </c>
      <c r="GK79">
        <v>0</v>
      </c>
      <c r="GL79">
        <f t="shared" si="98"/>
        <v>0</v>
      </c>
      <c r="GM79">
        <f t="shared" si="99"/>
        <v>308673.13</v>
      </c>
      <c r="GN79">
        <f t="shared" si="100"/>
        <v>308673.13</v>
      </c>
      <c r="GO79">
        <f t="shared" si="101"/>
        <v>0</v>
      </c>
      <c r="GP79">
        <f t="shared" si="102"/>
        <v>0</v>
      </c>
      <c r="GR79">
        <v>0</v>
      </c>
      <c r="GS79">
        <v>3</v>
      </c>
      <c r="GT79">
        <v>0</v>
      </c>
      <c r="GV79">
        <f t="shared" si="103"/>
        <v>0</v>
      </c>
      <c r="GW79">
        <v>1</v>
      </c>
      <c r="GX79">
        <f t="shared" si="104"/>
        <v>0</v>
      </c>
      <c r="HA79">
        <v>0</v>
      </c>
      <c r="HB79">
        <v>0</v>
      </c>
      <c r="HC79">
        <f t="shared" si="105"/>
        <v>0</v>
      </c>
      <c r="IK79">
        <v>0</v>
      </c>
    </row>
    <row r="80" spans="1:245" ht="12.75">
      <c r="A80">
        <v>18</v>
      </c>
      <c r="B80">
        <v>1</v>
      </c>
      <c r="C80">
        <v>52</v>
      </c>
      <c r="E80" t="s">
        <v>163</v>
      </c>
      <c r="F80" t="s">
        <v>164</v>
      </c>
      <c r="G80" t="s">
        <v>165</v>
      </c>
      <c r="H80" t="s">
        <v>149</v>
      </c>
      <c r="I80">
        <f>I78*J80</f>
        <v>-18.48</v>
      </c>
      <c r="J80">
        <v>-2.64</v>
      </c>
      <c r="O80">
        <f t="shared" si="71"/>
        <v>-131335.8</v>
      </c>
      <c r="P80">
        <f t="shared" si="72"/>
        <v>-131335.8</v>
      </c>
      <c r="Q80">
        <f t="shared" si="73"/>
        <v>0</v>
      </c>
      <c r="R80">
        <f t="shared" si="74"/>
        <v>0</v>
      </c>
      <c r="S80">
        <f t="shared" si="75"/>
        <v>0</v>
      </c>
      <c r="T80">
        <f t="shared" si="76"/>
        <v>0</v>
      </c>
      <c r="U80">
        <f t="shared" si="77"/>
        <v>0</v>
      </c>
      <c r="V80">
        <f t="shared" si="78"/>
        <v>0</v>
      </c>
      <c r="W80">
        <f t="shared" si="79"/>
        <v>0</v>
      </c>
      <c r="X80">
        <f t="shared" si="80"/>
        <v>0</v>
      </c>
      <c r="Y80">
        <f t="shared" si="81"/>
        <v>0</v>
      </c>
      <c r="AA80">
        <v>51669678</v>
      </c>
      <c r="AB80">
        <f t="shared" si="82"/>
        <v>633.98</v>
      </c>
      <c r="AC80">
        <f t="shared" si="83"/>
        <v>633.98</v>
      </c>
      <c r="AD80">
        <f>ROUND((((ET80)-(EU80))+AE80),2)</f>
        <v>0</v>
      </c>
      <c r="AE80">
        <f>ROUND((EU80),2)</f>
        <v>0</v>
      </c>
      <c r="AF80">
        <f>ROUND((EV80),2)</f>
        <v>0</v>
      </c>
      <c r="AG80">
        <f t="shared" si="84"/>
        <v>0</v>
      </c>
      <c r="AH80">
        <f>(EW80)</f>
        <v>0</v>
      </c>
      <c r="AI80">
        <f>(EX80)</f>
        <v>0</v>
      </c>
      <c r="AJ80">
        <f t="shared" si="85"/>
        <v>0</v>
      </c>
      <c r="AK80">
        <v>633.98</v>
      </c>
      <c r="AL80">
        <v>633.98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11.21</v>
      </c>
      <c r="BH80">
        <v>3</v>
      </c>
      <c r="BI80">
        <v>1</v>
      </c>
      <c r="BJ80" t="s">
        <v>166</v>
      </c>
      <c r="BM80">
        <v>500001</v>
      </c>
      <c r="BN80">
        <v>0</v>
      </c>
      <c r="BO80" t="s">
        <v>164</v>
      </c>
      <c r="BP80">
        <v>1</v>
      </c>
      <c r="BQ80">
        <v>8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E80">
        <v>0</v>
      </c>
      <c r="CF80">
        <v>0</v>
      </c>
      <c r="CG80">
        <v>0</v>
      </c>
      <c r="CM80">
        <v>0</v>
      </c>
      <c r="CO80">
        <v>0</v>
      </c>
      <c r="CP80">
        <f t="shared" si="86"/>
        <v>-131335.8</v>
      </c>
      <c r="CQ80">
        <f t="shared" si="87"/>
        <v>7106.915800000001</v>
      </c>
      <c r="CR80">
        <f t="shared" si="88"/>
        <v>0</v>
      </c>
      <c r="CS80">
        <f t="shared" si="89"/>
        <v>0</v>
      </c>
      <c r="CT80">
        <f t="shared" si="90"/>
        <v>0</v>
      </c>
      <c r="CU80">
        <f t="shared" si="91"/>
        <v>0</v>
      </c>
      <c r="CV80">
        <f t="shared" si="92"/>
        <v>0</v>
      </c>
      <c r="CW80">
        <f t="shared" si="93"/>
        <v>0</v>
      </c>
      <c r="CX80">
        <f t="shared" si="94"/>
        <v>0</v>
      </c>
      <c r="CY80">
        <f t="shared" si="95"/>
        <v>0</v>
      </c>
      <c r="CZ80">
        <f t="shared" si="96"/>
        <v>0</v>
      </c>
      <c r="DN80">
        <v>0</v>
      </c>
      <c r="DO80">
        <v>0</v>
      </c>
      <c r="DP80">
        <v>1</v>
      </c>
      <c r="DQ80">
        <v>1</v>
      </c>
      <c r="DU80">
        <v>1007</v>
      </c>
      <c r="DV80" t="s">
        <v>149</v>
      </c>
      <c r="DW80" t="s">
        <v>149</v>
      </c>
      <c r="DX80">
        <v>1</v>
      </c>
      <c r="EE80">
        <v>48034321</v>
      </c>
      <c r="EF80">
        <v>8</v>
      </c>
      <c r="EG80" t="s">
        <v>151</v>
      </c>
      <c r="EH80">
        <v>0</v>
      </c>
      <c r="EJ80">
        <v>1</v>
      </c>
      <c r="EK80">
        <v>500001</v>
      </c>
      <c r="EL80" t="s">
        <v>152</v>
      </c>
      <c r="EM80" t="s">
        <v>153</v>
      </c>
      <c r="EQ80">
        <v>0</v>
      </c>
      <c r="ER80">
        <v>633.98</v>
      </c>
      <c r="ES80">
        <v>633.98</v>
      </c>
      <c r="ET80">
        <v>0</v>
      </c>
      <c r="EU80">
        <v>0</v>
      </c>
      <c r="EV80">
        <v>0</v>
      </c>
      <c r="EW80">
        <v>0</v>
      </c>
      <c r="EX80">
        <v>0</v>
      </c>
      <c r="FQ80">
        <v>0</v>
      </c>
      <c r="FR80">
        <f t="shared" si="97"/>
        <v>0</v>
      </c>
      <c r="FS80">
        <v>0</v>
      </c>
      <c r="FX80">
        <v>0</v>
      </c>
      <c r="FY80">
        <v>0</v>
      </c>
      <c r="GD80">
        <v>1</v>
      </c>
      <c r="GF80">
        <v>895507224</v>
      </c>
      <c r="GG80">
        <v>2</v>
      </c>
      <c r="GH80">
        <v>1</v>
      </c>
      <c r="GI80">
        <v>2</v>
      </c>
      <c r="GJ80">
        <v>0</v>
      </c>
      <c r="GK80">
        <v>0</v>
      </c>
      <c r="GL80">
        <f t="shared" si="98"/>
        <v>0</v>
      </c>
      <c r="GM80">
        <f t="shared" si="99"/>
        <v>-131335.8</v>
      </c>
      <c r="GN80">
        <f t="shared" si="100"/>
        <v>-131335.8</v>
      </c>
      <c r="GO80">
        <f t="shared" si="101"/>
        <v>0</v>
      </c>
      <c r="GP80">
        <f t="shared" si="102"/>
        <v>0</v>
      </c>
      <c r="GR80">
        <v>0</v>
      </c>
      <c r="GS80">
        <v>3</v>
      </c>
      <c r="GT80">
        <v>0</v>
      </c>
      <c r="GV80">
        <f t="shared" si="103"/>
        <v>0</v>
      </c>
      <c r="GW80">
        <v>1</v>
      </c>
      <c r="GX80">
        <f t="shared" si="104"/>
        <v>0</v>
      </c>
      <c r="HA80">
        <v>0</v>
      </c>
      <c r="HB80">
        <v>0</v>
      </c>
      <c r="HC80">
        <f t="shared" si="105"/>
        <v>0</v>
      </c>
      <c r="IK80">
        <v>0</v>
      </c>
    </row>
    <row r="81" spans="1:245" ht="12.75">
      <c r="A81">
        <v>17</v>
      </c>
      <c r="B81">
        <v>1</v>
      </c>
      <c r="C81">
        <f>ROW(SmtRes!A62)</f>
        <v>62</v>
      </c>
      <c r="D81">
        <f>ROW(EtalonRes!A59)</f>
        <v>59</v>
      </c>
      <c r="E81" t="s">
        <v>167</v>
      </c>
      <c r="F81" t="s">
        <v>168</v>
      </c>
      <c r="G81" t="s">
        <v>169</v>
      </c>
      <c r="H81" t="s">
        <v>170</v>
      </c>
      <c r="I81">
        <v>7.6</v>
      </c>
      <c r="J81">
        <v>0</v>
      </c>
      <c r="O81">
        <f t="shared" si="71"/>
        <v>45531.14</v>
      </c>
      <c r="P81">
        <f t="shared" si="72"/>
        <v>28788.68</v>
      </c>
      <c r="Q81">
        <f t="shared" si="73"/>
        <v>2804.93</v>
      </c>
      <c r="R81">
        <f t="shared" si="74"/>
        <v>371.67</v>
      </c>
      <c r="S81">
        <f t="shared" si="75"/>
        <v>13937.53</v>
      </c>
      <c r="T81">
        <f t="shared" si="76"/>
        <v>0</v>
      </c>
      <c r="U81">
        <f t="shared" si="77"/>
        <v>85.65199999999999</v>
      </c>
      <c r="V81">
        <f t="shared" si="78"/>
        <v>1.54375</v>
      </c>
      <c r="W81">
        <f t="shared" si="79"/>
        <v>0</v>
      </c>
      <c r="X81">
        <f t="shared" si="80"/>
        <v>15453.94</v>
      </c>
      <c r="Y81">
        <f t="shared" si="81"/>
        <v>7870.06</v>
      </c>
      <c r="AA81">
        <v>51669678</v>
      </c>
      <c r="AB81">
        <f t="shared" si="82"/>
        <v>1063.44</v>
      </c>
      <c r="AC81">
        <f t="shared" si="83"/>
        <v>819.91</v>
      </c>
      <c r="AD81">
        <f>ROUND((((((ET81*1.25)*1.25))-(((EU81*1.25)*1.25)))+AE81),2)</f>
        <v>56.78</v>
      </c>
      <c r="AE81">
        <f>ROUND((((EU81*1.25)*1.25)),2)</f>
        <v>4.98</v>
      </c>
      <c r="AF81">
        <f>ROUND((((EV81*1.15)*1.25)),2)</f>
        <v>186.75</v>
      </c>
      <c r="AG81">
        <f t="shared" si="84"/>
        <v>0</v>
      </c>
      <c r="AH81">
        <f>(((EW81*1.15)*1.25))</f>
        <v>11.27</v>
      </c>
      <c r="AI81">
        <f>(((EX81*1.25)*1.25))</f>
        <v>0.203125</v>
      </c>
      <c r="AJ81">
        <f t="shared" si="85"/>
        <v>0</v>
      </c>
      <c r="AK81">
        <v>986.16</v>
      </c>
      <c r="AL81">
        <v>819.91</v>
      </c>
      <c r="AM81">
        <v>36.34</v>
      </c>
      <c r="AN81">
        <v>3.19</v>
      </c>
      <c r="AO81">
        <v>129.91</v>
      </c>
      <c r="AP81">
        <v>0</v>
      </c>
      <c r="AQ81">
        <v>7.84</v>
      </c>
      <c r="AR81">
        <v>0.13</v>
      </c>
      <c r="AS81">
        <v>0</v>
      </c>
      <c r="AT81">
        <v>108</v>
      </c>
      <c r="AU81">
        <v>55</v>
      </c>
      <c r="AV81">
        <v>1</v>
      </c>
      <c r="AW81">
        <v>1</v>
      </c>
      <c r="AZ81">
        <v>1</v>
      </c>
      <c r="BA81">
        <v>9.82</v>
      </c>
      <c r="BB81">
        <v>6.5</v>
      </c>
      <c r="BC81">
        <v>4.62</v>
      </c>
      <c r="BH81">
        <v>0</v>
      </c>
      <c r="BI81">
        <v>1</v>
      </c>
      <c r="BJ81" t="s">
        <v>171</v>
      </c>
      <c r="BM81">
        <v>12001</v>
      </c>
      <c r="BN81">
        <v>0</v>
      </c>
      <c r="BO81" t="s">
        <v>168</v>
      </c>
      <c r="BP81">
        <v>1</v>
      </c>
      <c r="BQ81">
        <v>2</v>
      </c>
      <c r="BR81">
        <v>0</v>
      </c>
      <c r="BS81">
        <v>9.82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120</v>
      </c>
      <c r="CA81">
        <v>65</v>
      </c>
      <c r="CE81">
        <v>0</v>
      </c>
      <c r="CF81">
        <v>0</v>
      </c>
      <c r="CG81">
        <v>0</v>
      </c>
      <c r="CM81">
        <v>0</v>
      </c>
      <c r="CN81" t="s">
        <v>721</v>
      </c>
      <c r="CO81">
        <v>0</v>
      </c>
      <c r="CP81">
        <f t="shared" si="86"/>
        <v>45531.14</v>
      </c>
      <c r="CQ81">
        <f t="shared" si="87"/>
        <v>3787.9842</v>
      </c>
      <c r="CR81">
        <f t="shared" si="88"/>
        <v>369.07</v>
      </c>
      <c r="CS81">
        <f t="shared" si="89"/>
        <v>48.903600000000004</v>
      </c>
      <c r="CT81">
        <f t="shared" si="90"/>
        <v>1833.885</v>
      </c>
      <c r="CU81">
        <f t="shared" si="91"/>
        <v>0</v>
      </c>
      <c r="CV81">
        <f t="shared" si="92"/>
        <v>11.27</v>
      </c>
      <c r="CW81">
        <f t="shared" si="93"/>
        <v>0.203125</v>
      </c>
      <c r="CX81">
        <f t="shared" si="94"/>
        <v>0</v>
      </c>
      <c r="CY81">
        <f t="shared" si="95"/>
        <v>15453.936000000002</v>
      </c>
      <c r="CZ81">
        <f t="shared" si="96"/>
        <v>7870.06</v>
      </c>
      <c r="DE81" t="s">
        <v>139</v>
      </c>
      <c r="DF81" t="s">
        <v>139</v>
      </c>
      <c r="DG81" t="s">
        <v>140</v>
      </c>
      <c r="DI81" t="s">
        <v>140</v>
      </c>
      <c r="DJ81" t="s">
        <v>139</v>
      </c>
      <c r="DN81">
        <v>0</v>
      </c>
      <c r="DO81">
        <v>0</v>
      </c>
      <c r="DP81">
        <v>1</v>
      </c>
      <c r="DQ81">
        <v>1</v>
      </c>
      <c r="DU81">
        <v>1005</v>
      </c>
      <c r="DV81" t="s">
        <v>170</v>
      </c>
      <c r="DW81" t="s">
        <v>170</v>
      </c>
      <c r="DX81">
        <v>100</v>
      </c>
      <c r="EE81">
        <v>48034390</v>
      </c>
      <c r="EF81">
        <v>2</v>
      </c>
      <c r="EG81" t="s">
        <v>20</v>
      </c>
      <c r="EH81">
        <v>0</v>
      </c>
      <c r="EJ81">
        <v>1</v>
      </c>
      <c r="EK81">
        <v>12001</v>
      </c>
      <c r="EL81" t="s">
        <v>172</v>
      </c>
      <c r="EM81" t="s">
        <v>173</v>
      </c>
      <c r="EO81" t="s">
        <v>143</v>
      </c>
      <c r="EQ81">
        <v>131584</v>
      </c>
      <c r="ER81">
        <v>986.16</v>
      </c>
      <c r="ES81">
        <v>819.91</v>
      </c>
      <c r="ET81">
        <v>36.34</v>
      </c>
      <c r="EU81">
        <v>3.19</v>
      </c>
      <c r="EV81">
        <v>129.91</v>
      </c>
      <c r="EW81">
        <v>7.84</v>
      </c>
      <c r="EX81">
        <v>0.13</v>
      </c>
      <c r="EY81">
        <v>0</v>
      </c>
      <c r="FQ81">
        <v>0</v>
      </c>
      <c r="FR81">
        <f t="shared" si="97"/>
        <v>0</v>
      </c>
      <c r="FS81">
        <v>0</v>
      </c>
      <c r="FT81" t="s">
        <v>24</v>
      </c>
      <c r="FU81" t="s">
        <v>25</v>
      </c>
      <c r="FX81">
        <v>108</v>
      </c>
      <c r="FY81">
        <v>55.25</v>
      </c>
      <c r="GD81">
        <v>1</v>
      </c>
      <c r="GF81">
        <v>327261221</v>
      </c>
      <c r="GG81">
        <v>2</v>
      </c>
      <c r="GH81">
        <v>1</v>
      </c>
      <c r="GI81">
        <v>2</v>
      </c>
      <c r="GJ81">
        <v>0</v>
      </c>
      <c r="GK81">
        <v>0</v>
      </c>
      <c r="GL81">
        <f t="shared" si="98"/>
        <v>0</v>
      </c>
      <c r="GM81">
        <f t="shared" si="99"/>
        <v>68855.14</v>
      </c>
      <c r="GN81">
        <f t="shared" si="100"/>
        <v>68855.14</v>
      </c>
      <c r="GO81">
        <f t="shared" si="101"/>
        <v>0</v>
      </c>
      <c r="GP81">
        <f t="shared" si="102"/>
        <v>0</v>
      </c>
      <c r="GR81">
        <v>0</v>
      </c>
      <c r="GS81">
        <v>3</v>
      </c>
      <c r="GT81">
        <v>0</v>
      </c>
      <c r="GV81">
        <f t="shared" si="103"/>
        <v>0</v>
      </c>
      <c r="GW81">
        <v>1</v>
      </c>
      <c r="GX81">
        <f t="shared" si="104"/>
        <v>0</v>
      </c>
      <c r="HA81">
        <v>0</v>
      </c>
      <c r="HB81">
        <v>0</v>
      </c>
      <c r="HC81">
        <f t="shared" si="105"/>
        <v>0</v>
      </c>
      <c r="IK81">
        <v>0</v>
      </c>
    </row>
    <row r="82" spans="1:245" ht="12.75">
      <c r="A82">
        <v>18</v>
      </c>
      <c r="B82">
        <v>1</v>
      </c>
      <c r="C82">
        <v>62</v>
      </c>
      <c r="E82" t="s">
        <v>174</v>
      </c>
      <c r="F82" t="s">
        <v>175</v>
      </c>
      <c r="G82" t="s">
        <v>176</v>
      </c>
      <c r="H82" t="s">
        <v>177</v>
      </c>
      <c r="I82">
        <f>I81*J82</f>
        <v>83.6</v>
      </c>
      <c r="J82">
        <v>11</v>
      </c>
      <c r="O82">
        <f t="shared" si="71"/>
        <v>28461.79</v>
      </c>
      <c r="P82">
        <f t="shared" si="72"/>
        <v>28461.79</v>
      </c>
      <c r="Q82">
        <f t="shared" si="73"/>
        <v>0</v>
      </c>
      <c r="R82">
        <f t="shared" si="74"/>
        <v>0</v>
      </c>
      <c r="S82">
        <f t="shared" si="75"/>
        <v>0</v>
      </c>
      <c r="T82">
        <f t="shared" si="76"/>
        <v>0</v>
      </c>
      <c r="U82">
        <f t="shared" si="77"/>
        <v>0</v>
      </c>
      <c r="V82">
        <f t="shared" si="78"/>
        <v>0</v>
      </c>
      <c r="W82">
        <f t="shared" si="79"/>
        <v>0</v>
      </c>
      <c r="X82">
        <f t="shared" si="80"/>
        <v>0</v>
      </c>
      <c r="Y82">
        <f t="shared" si="81"/>
        <v>0</v>
      </c>
      <c r="AA82">
        <v>51669678</v>
      </c>
      <c r="AB82">
        <f t="shared" si="82"/>
        <v>58.8</v>
      </c>
      <c r="AC82">
        <f t="shared" si="83"/>
        <v>58.8</v>
      </c>
      <c r="AD82">
        <f>ROUND((((ET82)-(EU82))+AE82),2)</f>
        <v>0</v>
      </c>
      <c r="AE82">
        <f>ROUND((EU82),2)</f>
        <v>0</v>
      </c>
      <c r="AF82">
        <f>ROUND((EV82),2)</f>
        <v>0</v>
      </c>
      <c r="AG82">
        <f t="shared" si="84"/>
        <v>0</v>
      </c>
      <c r="AH82">
        <f>(EW82)</f>
        <v>0</v>
      </c>
      <c r="AI82">
        <f>(EX82)</f>
        <v>0</v>
      </c>
      <c r="AJ82">
        <f t="shared" si="85"/>
        <v>0</v>
      </c>
      <c r="AK82">
        <v>58.8</v>
      </c>
      <c r="AL82">
        <v>58.8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5.79</v>
      </c>
      <c r="BH82">
        <v>3</v>
      </c>
      <c r="BI82">
        <v>1</v>
      </c>
      <c r="BJ82" t="s">
        <v>178</v>
      </c>
      <c r="BM82">
        <v>500001</v>
      </c>
      <c r="BN82">
        <v>0</v>
      </c>
      <c r="BO82" t="s">
        <v>175</v>
      </c>
      <c r="BP82">
        <v>1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0</v>
      </c>
      <c r="CA82">
        <v>0</v>
      </c>
      <c r="CE82">
        <v>0</v>
      </c>
      <c r="CF82">
        <v>0</v>
      </c>
      <c r="CG82">
        <v>0</v>
      </c>
      <c r="CM82">
        <v>0</v>
      </c>
      <c r="CO82">
        <v>0</v>
      </c>
      <c r="CP82">
        <f t="shared" si="86"/>
        <v>28461.79</v>
      </c>
      <c r="CQ82">
        <f t="shared" si="87"/>
        <v>340.452</v>
      </c>
      <c r="CR82">
        <f t="shared" si="88"/>
        <v>0</v>
      </c>
      <c r="CS82">
        <f t="shared" si="89"/>
        <v>0</v>
      </c>
      <c r="CT82">
        <f t="shared" si="90"/>
        <v>0</v>
      </c>
      <c r="CU82">
        <f t="shared" si="91"/>
        <v>0</v>
      </c>
      <c r="CV82">
        <f t="shared" si="92"/>
        <v>0</v>
      </c>
      <c r="CW82">
        <f t="shared" si="93"/>
        <v>0</v>
      </c>
      <c r="CX82">
        <f t="shared" si="94"/>
        <v>0</v>
      </c>
      <c r="CY82">
        <f t="shared" si="95"/>
        <v>0</v>
      </c>
      <c r="CZ82">
        <f t="shared" si="96"/>
        <v>0</v>
      </c>
      <c r="DN82">
        <v>0</v>
      </c>
      <c r="DO82">
        <v>0</v>
      </c>
      <c r="DP82">
        <v>1</v>
      </c>
      <c r="DQ82">
        <v>1</v>
      </c>
      <c r="DU82">
        <v>1005</v>
      </c>
      <c r="DV82" t="s">
        <v>177</v>
      </c>
      <c r="DW82" t="s">
        <v>177</v>
      </c>
      <c r="DX82">
        <v>10</v>
      </c>
      <c r="EE82">
        <v>48034321</v>
      </c>
      <c r="EF82">
        <v>8</v>
      </c>
      <c r="EG82" t="s">
        <v>151</v>
      </c>
      <c r="EH82">
        <v>0</v>
      </c>
      <c r="EJ82">
        <v>1</v>
      </c>
      <c r="EK82">
        <v>500001</v>
      </c>
      <c r="EL82" t="s">
        <v>152</v>
      </c>
      <c r="EM82" t="s">
        <v>153</v>
      </c>
      <c r="EQ82">
        <v>512</v>
      </c>
      <c r="ER82">
        <v>58.8</v>
      </c>
      <c r="ES82">
        <v>58.8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97"/>
        <v>0</v>
      </c>
      <c r="FS82">
        <v>0</v>
      </c>
      <c r="FX82">
        <v>0</v>
      </c>
      <c r="FY82">
        <v>0</v>
      </c>
      <c r="GD82">
        <v>1</v>
      </c>
      <c r="GF82">
        <v>195271772</v>
      </c>
      <c r="GG82">
        <v>2</v>
      </c>
      <c r="GH82">
        <v>1</v>
      </c>
      <c r="GI82">
        <v>2</v>
      </c>
      <c r="GJ82">
        <v>0</v>
      </c>
      <c r="GK82">
        <v>0</v>
      </c>
      <c r="GL82">
        <f t="shared" si="98"/>
        <v>0</v>
      </c>
      <c r="GM82">
        <f t="shared" si="99"/>
        <v>28461.79</v>
      </c>
      <c r="GN82">
        <f t="shared" si="100"/>
        <v>28461.79</v>
      </c>
      <c r="GO82">
        <f t="shared" si="101"/>
        <v>0</v>
      </c>
      <c r="GP82">
        <f t="shared" si="102"/>
        <v>0</v>
      </c>
      <c r="GR82">
        <v>0</v>
      </c>
      <c r="GS82">
        <v>3</v>
      </c>
      <c r="GT82">
        <v>0</v>
      </c>
      <c r="GV82">
        <f t="shared" si="103"/>
        <v>0</v>
      </c>
      <c r="GW82">
        <v>1</v>
      </c>
      <c r="GX82">
        <f t="shared" si="104"/>
        <v>0</v>
      </c>
      <c r="HA82">
        <v>0</v>
      </c>
      <c r="HB82">
        <v>0</v>
      </c>
      <c r="HC82">
        <f t="shared" si="105"/>
        <v>0</v>
      </c>
      <c r="IK82">
        <v>0</v>
      </c>
    </row>
    <row r="83" spans="1:245" ht="12.75">
      <c r="A83">
        <v>18</v>
      </c>
      <c r="B83">
        <v>1</v>
      </c>
      <c r="C83">
        <v>61</v>
      </c>
      <c r="E83" t="s">
        <v>179</v>
      </c>
      <c r="F83" t="s">
        <v>180</v>
      </c>
      <c r="G83" t="s">
        <v>181</v>
      </c>
      <c r="H83" t="s">
        <v>182</v>
      </c>
      <c r="I83">
        <f>I81*J83</f>
        <v>-836</v>
      </c>
      <c r="J83">
        <v>-110</v>
      </c>
      <c r="O83">
        <f t="shared" si="71"/>
        <v>-18329.13</v>
      </c>
      <c r="P83">
        <f t="shared" si="72"/>
        <v>-18329.13</v>
      </c>
      <c r="Q83">
        <f t="shared" si="73"/>
        <v>0</v>
      </c>
      <c r="R83">
        <f t="shared" si="74"/>
        <v>0</v>
      </c>
      <c r="S83">
        <f t="shared" si="75"/>
        <v>0</v>
      </c>
      <c r="T83">
        <f t="shared" si="76"/>
        <v>0</v>
      </c>
      <c r="U83">
        <f t="shared" si="77"/>
        <v>0</v>
      </c>
      <c r="V83">
        <f t="shared" si="78"/>
        <v>0</v>
      </c>
      <c r="W83">
        <f t="shared" si="79"/>
        <v>0</v>
      </c>
      <c r="X83">
        <f t="shared" si="80"/>
        <v>0</v>
      </c>
      <c r="Y83">
        <f t="shared" si="81"/>
        <v>0</v>
      </c>
      <c r="AA83">
        <v>51669678</v>
      </c>
      <c r="AB83">
        <f t="shared" si="82"/>
        <v>5.68</v>
      </c>
      <c r="AC83">
        <f t="shared" si="83"/>
        <v>5.68</v>
      </c>
      <c r="AD83">
        <f>ROUND((((ET83)-(EU83))+AE83),2)</f>
        <v>0</v>
      </c>
      <c r="AE83">
        <f>ROUND((EU83),2)</f>
        <v>0</v>
      </c>
      <c r="AF83">
        <f>ROUND((EV83),2)</f>
        <v>0</v>
      </c>
      <c r="AG83">
        <f t="shared" si="84"/>
        <v>0</v>
      </c>
      <c r="AH83">
        <f>(EW83)</f>
        <v>0</v>
      </c>
      <c r="AI83">
        <f>(EX83)</f>
        <v>0</v>
      </c>
      <c r="AJ83">
        <f t="shared" si="85"/>
        <v>0</v>
      </c>
      <c r="AK83">
        <v>5.68</v>
      </c>
      <c r="AL83">
        <v>5.68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3.86</v>
      </c>
      <c r="BH83">
        <v>3</v>
      </c>
      <c r="BI83">
        <v>1</v>
      </c>
      <c r="BJ83" t="s">
        <v>183</v>
      </c>
      <c r="BM83">
        <v>500001</v>
      </c>
      <c r="BN83">
        <v>0</v>
      </c>
      <c r="BO83" t="s">
        <v>180</v>
      </c>
      <c r="BP83">
        <v>1</v>
      </c>
      <c r="BQ83">
        <v>8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O83">
        <v>0</v>
      </c>
      <c r="CP83">
        <f t="shared" si="86"/>
        <v>-18329.13</v>
      </c>
      <c r="CQ83">
        <f t="shared" si="87"/>
        <v>21.924799999999998</v>
      </c>
      <c r="CR83">
        <f t="shared" si="88"/>
        <v>0</v>
      </c>
      <c r="CS83">
        <f t="shared" si="89"/>
        <v>0</v>
      </c>
      <c r="CT83">
        <f t="shared" si="90"/>
        <v>0</v>
      </c>
      <c r="CU83">
        <f t="shared" si="91"/>
        <v>0</v>
      </c>
      <c r="CV83">
        <f t="shared" si="92"/>
        <v>0</v>
      </c>
      <c r="CW83">
        <f t="shared" si="93"/>
        <v>0</v>
      </c>
      <c r="CX83">
        <f t="shared" si="94"/>
        <v>0</v>
      </c>
      <c r="CY83">
        <f t="shared" si="95"/>
        <v>0</v>
      </c>
      <c r="CZ83">
        <f t="shared" si="96"/>
        <v>0</v>
      </c>
      <c r="DN83">
        <v>0</v>
      </c>
      <c r="DO83">
        <v>0</v>
      </c>
      <c r="DP83">
        <v>1</v>
      </c>
      <c r="DQ83">
        <v>1</v>
      </c>
      <c r="DU83">
        <v>1005</v>
      </c>
      <c r="DV83" t="s">
        <v>182</v>
      </c>
      <c r="DW83" t="s">
        <v>184</v>
      </c>
      <c r="DX83">
        <v>1</v>
      </c>
      <c r="EE83">
        <v>48034321</v>
      </c>
      <c r="EF83">
        <v>8</v>
      </c>
      <c r="EG83" t="s">
        <v>151</v>
      </c>
      <c r="EH83">
        <v>0</v>
      </c>
      <c r="EJ83">
        <v>1</v>
      </c>
      <c r="EK83">
        <v>500001</v>
      </c>
      <c r="EL83" t="s">
        <v>152</v>
      </c>
      <c r="EM83" t="s">
        <v>153</v>
      </c>
      <c r="EQ83">
        <v>512</v>
      </c>
      <c r="ER83">
        <v>5.68</v>
      </c>
      <c r="ES83">
        <v>5.68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7"/>
        <v>0</v>
      </c>
      <c r="FS83">
        <v>0</v>
      </c>
      <c r="FX83">
        <v>0</v>
      </c>
      <c r="FY83">
        <v>0</v>
      </c>
      <c r="GD83">
        <v>1</v>
      </c>
      <c r="GF83">
        <v>-477226923</v>
      </c>
      <c r="GG83">
        <v>2</v>
      </c>
      <c r="GH83">
        <v>1</v>
      </c>
      <c r="GI83">
        <v>2</v>
      </c>
      <c r="GJ83">
        <v>0</v>
      </c>
      <c r="GK83">
        <v>0</v>
      </c>
      <c r="GL83">
        <f t="shared" si="98"/>
        <v>0</v>
      </c>
      <c r="GM83">
        <f t="shared" si="99"/>
        <v>-18329.13</v>
      </c>
      <c r="GN83">
        <f t="shared" si="100"/>
        <v>-18329.13</v>
      </c>
      <c r="GO83">
        <f t="shared" si="101"/>
        <v>0</v>
      </c>
      <c r="GP83">
        <f t="shared" si="102"/>
        <v>0</v>
      </c>
      <c r="GR83">
        <v>0</v>
      </c>
      <c r="GS83">
        <v>3</v>
      </c>
      <c r="GT83">
        <v>0</v>
      </c>
      <c r="GV83">
        <f t="shared" si="103"/>
        <v>0</v>
      </c>
      <c r="GW83">
        <v>1</v>
      </c>
      <c r="GX83">
        <f t="shared" si="104"/>
        <v>0</v>
      </c>
      <c r="HA83">
        <v>0</v>
      </c>
      <c r="HB83">
        <v>0</v>
      </c>
      <c r="HC83">
        <f t="shared" si="105"/>
        <v>0</v>
      </c>
      <c r="IK83">
        <v>0</v>
      </c>
    </row>
    <row r="84" spans="1:245" ht="12.75">
      <c r="A84">
        <v>17</v>
      </c>
      <c r="B84">
        <v>1</v>
      </c>
      <c r="C84">
        <f>ROW(SmtRes!A69)</f>
        <v>69</v>
      </c>
      <c r="D84">
        <f>ROW(EtalonRes!A66)</f>
        <v>66</v>
      </c>
      <c r="E84" t="s">
        <v>185</v>
      </c>
      <c r="F84" t="s">
        <v>186</v>
      </c>
      <c r="G84" t="s">
        <v>187</v>
      </c>
      <c r="H84" t="s">
        <v>16</v>
      </c>
      <c r="I84">
        <v>0.52</v>
      </c>
      <c r="J84">
        <v>0</v>
      </c>
      <c r="O84">
        <f t="shared" si="71"/>
        <v>35953.04</v>
      </c>
      <c r="P84">
        <f t="shared" si="72"/>
        <v>22399.57</v>
      </c>
      <c r="Q84">
        <f t="shared" si="73"/>
        <v>170.57</v>
      </c>
      <c r="R84">
        <f t="shared" si="74"/>
        <v>39.17</v>
      </c>
      <c r="S84">
        <f t="shared" si="75"/>
        <v>13382.9</v>
      </c>
      <c r="T84">
        <f t="shared" si="76"/>
        <v>0</v>
      </c>
      <c r="U84">
        <f t="shared" si="77"/>
        <v>84.280625</v>
      </c>
      <c r="V84">
        <f t="shared" si="78"/>
        <v>0.1625</v>
      </c>
      <c r="W84">
        <f t="shared" si="79"/>
        <v>0</v>
      </c>
      <c r="X84">
        <f t="shared" si="80"/>
        <v>14495.84</v>
      </c>
      <c r="Y84">
        <f t="shared" si="81"/>
        <v>7382.14</v>
      </c>
      <c r="AA84">
        <v>51669678</v>
      </c>
      <c r="AB84">
        <f t="shared" si="82"/>
        <v>10440.31</v>
      </c>
      <c r="AC84">
        <f t="shared" si="83"/>
        <v>7775.47</v>
      </c>
      <c r="AD84">
        <f>ROUND((((((ET84*1.25)*1.25))-(((EU84*1.25)*1.25)))+AE84),2)</f>
        <v>44.03</v>
      </c>
      <c r="AE84">
        <f>ROUND((((EU84*1.25)*1.25)),2)</f>
        <v>7.67</v>
      </c>
      <c r="AF84">
        <f>ROUND((((EV84*1.15)*1.25)),2)</f>
        <v>2620.81</v>
      </c>
      <c r="AG84">
        <f t="shared" si="84"/>
        <v>0</v>
      </c>
      <c r="AH84">
        <f>(((EW84*1.15)*1.25))</f>
        <v>162.078125</v>
      </c>
      <c r="AI84">
        <f>(((EX84*1.25)*1.25))</f>
        <v>0.3125</v>
      </c>
      <c r="AJ84">
        <f t="shared" si="85"/>
        <v>0</v>
      </c>
      <c r="AK84">
        <v>9626.82</v>
      </c>
      <c r="AL84">
        <v>7775.47</v>
      </c>
      <c r="AM84">
        <v>28.18</v>
      </c>
      <c r="AN84">
        <v>4.91</v>
      </c>
      <c r="AO84">
        <v>1823.17</v>
      </c>
      <c r="AP84">
        <v>0</v>
      </c>
      <c r="AQ84">
        <v>112.75</v>
      </c>
      <c r="AR84">
        <v>0.2</v>
      </c>
      <c r="AS84">
        <v>0</v>
      </c>
      <c r="AT84">
        <v>108</v>
      </c>
      <c r="AU84">
        <v>55</v>
      </c>
      <c r="AV84">
        <v>1</v>
      </c>
      <c r="AW84">
        <v>1</v>
      </c>
      <c r="AZ84">
        <v>1</v>
      </c>
      <c r="BA84">
        <v>9.82</v>
      </c>
      <c r="BB84">
        <v>7.45</v>
      </c>
      <c r="BC84">
        <v>5.54</v>
      </c>
      <c r="BH84">
        <v>0</v>
      </c>
      <c r="BI84">
        <v>1</v>
      </c>
      <c r="BJ84" t="s">
        <v>188</v>
      </c>
      <c r="BM84">
        <v>12001</v>
      </c>
      <c r="BN84">
        <v>0</v>
      </c>
      <c r="BO84" t="s">
        <v>186</v>
      </c>
      <c r="BP84">
        <v>1</v>
      </c>
      <c r="BQ84">
        <v>2</v>
      </c>
      <c r="BR84">
        <v>0</v>
      </c>
      <c r="BS84">
        <v>9.82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120</v>
      </c>
      <c r="CA84">
        <v>65</v>
      </c>
      <c r="CE84">
        <v>0</v>
      </c>
      <c r="CF84">
        <v>0</v>
      </c>
      <c r="CG84">
        <v>0</v>
      </c>
      <c r="CM84">
        <v>0</v>
      </c>
      <c r="CN84" t="s">
        <v>721</v>
      </c>
      <c r="CO84">
        <v>0</v>
      </c>
      <c r="CP84">
        <f t="shared" si="86"/>
        <v>35953.04</v>
      </c>
      <c r="CQ84">
        <f t="shared" si="87"/>
        <v>43076.103800000004</v>
      </c>
      <c r="CR84">
        <f t="shared" si="88"/>
        <v>328.0235</v>
      </c>
      <c r="CS84">
        <f t="shared" si="89"/>
        <v>75.3194</v>
      </c>
      <c r="CT84">
        <f t="shared" si="90"/>
        <v>25736.3542</v>
      </c>
      <c r="CU84">
        <f t="shared" si="91"/>
        <v>0</v>
      </c>
      <c r="CV84">
        <f t="shared" si="92"/>
        <v>162.078125</v>
      </c>
      <c r="CW84">
        <f t="shared" si="93"/>
        <v>0.3125</v>
      </c>
      <c r="CX84">
        <f t="shared" si="94"/>
        <v>0</v>
      </c>
      <c r="CY84">
        <f t="shared" si="95"/>
        <v>14495.8356</v>
      </c>
      <c r="CZ84">
        <f t="shared" si="96"/>
        <v>7382.1385</v>
      </c>
      <c r="DE84" t="s">
        <v>139</v>
      </c>
      <c r="DF84" t="s">
        <v>139</v>
      </c>
      <c r="DG84" t="s">
        <v>140</v>
      </c>
      <c r="DI84" t="s">
        <v>140</v>
      </c>
      <c r="DJ84" t="s">
        <v>139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16</v>
      </c>
      <c r="DW84" t="s">
        <v>16</v>
      </c>
      <c r="DX84">
        <v>1</v>
      </c>
      <c r="EE84">
        <v>48034390</v>
      </c>
      <c r="EF84">
        <v>2</v>
      </c>
      <c r="EG84" t="s">
        <v>20</v>
      </c>
      <c r="EH84">
        <v>0</v>
      </c>
      <c r="EJ84">
        <v>1</v>
      </c>
      <c r="EK84">
        <v>12001</v>
      </c>
      <c r="EL84" t="s">
        <v>172</v>
      </c>
      <c r="EM84" t="s">
        <v>173</v>
      </c>
      <c r="EO84" t="s">
        <v>143</v>
      </c>
      <c r="EQ84">
        <v>512</v>
      </c>
      <c r="ER84">
        <v>9626.82</v>
      </c>
      <c r="ES84">
        <v>7775.47</v>
      </c>
      <c r="ET84">
        <v>28.18</v>
      </c>
      <c r="EU84">
        <v>4.91</v>
      </c>
      <c r="EV84">
        <v>1823.17</v>
      </c>
      <c r="EW84">
        <v>112.75</v>
      </c>
      <c r="EX84">
        <v>0.2</v>
      </c>
      <c r="EY84">
        <v>0</v>
      </c>
      <c r="FQ84">
        <v>0</v>
      </c>
      <c r="FR84">
        <f t="shared" si="97"/>
        <v>0</v>
      </c>
      <c r="FS84">
        <v>0</v>
      </c>
      <c r="FT84" t="s">
        <v>24</v>
      </c>
      <c r="FU84" t="s">
        <v>25</v>
      </c>
      <c r="FX84">
        <v>108</v>
      </c>
      <c r="FY84">
        <v>55.25</v>
      </c>
      <c r="GD84">
        <v>1</v>
      </c>
      <c r="GF84">
        <v>-1678678757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98"/>
        <v>0</v>
      </c>
      <c r="GM84">
        <f t="shared" si="99"/>
        <v>57831.02</v>
      </c>
      <c r="GN84">
        <f t="shared" si="100"/>
        <v>57831.02</v>
      </c>
      <c r="GO84">
        <f t="shared" si="101"/>
        <v>0</v>
      </c>
      <c r="GP84">
        <f t="shared" si="102"/>
        <v>0</v>
      </c>
      <c r="GR84">
        <v>0</v>
      </c>
      <c r="GS84">
        <v>3</v>
      </c>
      <c r="GT84">
        <v>0</v>
      </c>
      <c r="GV84">
        <f t="shared" si="103"/>
        <v>0</v>
      </c>
      <c r="GW84">
        <v>1</v>
      </c>
      <c r="GX84">
        <f t="shared" si="104"/>
        <v>0</v>
      </c>
      <c r="HA84">
        <v>0</v>
      </c>
      <c r="HB84">
        <v>0</v>
      </c>
      <c r="HC84">
        <f t="shared" si="105"/>
        <v>0</v>
      </c>
      <c r="IK84">
        <v>0</v>
      </c>
    </row>
    <row r="85" spans="1:245" ht="12.75">
      <c r="A85">
        <v>17</v>
      </c>
      <c r="B85">
        <v>1</v>
      </c>
      <c r="C85">
        <f>ROW(SmtRes!A73)</f>
        <v>73</v>
      </c>
      <c r="D85">
        <f>ROW(EtalonRes!A70)</f>
        <v>70</v>
      </c>
      <c r="E85" t="s">
        <v>189</v>
      </c>
      <c r="F85" t="s">
        <v>190</v>
      </c>
      <c r="G85" t="s">
        <v>191</v>
      </c>
      <c r="H85" t="s">
        <v>192</v>
      </c>
      <c r="I85">
        <v>12</v>
      </c>
      <c r="J85">
        <v>0</v>
      </c>
      <c r="O85">
        <f t="shared" si="71"/>
        <v>30106.51</v>
      </c>
      <c r="P85">
        <f t="shared" si="72"/>
        <v>24689.36</v>
      </c>
      <c r="Q85">
        <f t="shared" si="73"/>
        <v>130.85</v>
      </c>
      <c r="R85">
        <f t="shared" si="74"/>
        <v>0</v>
      </c>
      <c r="S85">
        <f t="shared" si="75"/>
        <v>5286.3</v>
      </c>
      <c r="T85">
        <f t="shared" si="76"/>
        <v>0</v>
      </c>
      <c r="U85">
        <f t="shared" si="77"/>
        <v>33.2925</v>
      </c>
      <c r="V85">
        <f t="shared" si="78"/>
        <v>0</v>
      </c>
      <c r="W85">
        <f t="shared" si="79"/>
        <v>0</v>
      </c>
      <c r="X85">
        <f t="shared" si="80"/>
        <v>5709.2</v>
      </c>
      <c r="Y85">
        <f t="shared" si="81"/>
        <v>2907.47</v>
      </c>
      <c r="AA85">
        <v>51669678</v>
      </c>
      <c r="AB85">
        <f t="shared" si="82"/>
        <v>416.12</v>
      </c>
      <c r="AC85">
        <f t="shared" si="83"/>
        <v>369.38</v>
      </c>
      <c r="AD85">
        <f>ROUND((((((ET85*1.25)*1.25))-(((EU85*1.25)*1.25)))+AE85),2)</f>
        <v>1.88</v>
      </c>
      <c r="AE85">
        <f>ROUND((((EU85*1.25)*1.25)),2)</f>
        <v>0</v>
      </c>
      <c r="AF85">
        <f>ROUND((((EV85*1.15)*1.25)),2)</f>
        <v>44.86</v>
      </c>
      <c r="AG85">
        <f t="shared" si="84"/>
        <v>0</v>
      </c>
      <c r="AH85">
        <f>(((EW85*1.15)*1.25))</f>
        <v>2.7743749999999996</v>
      </c>
      <c r="AI85">
        <f>(((EX85*1.25)*1.25))</f>
        <v>0</v>
      </c>
      <c r="AJ85">
        <f t="shared" si="85"/>
        <v>0</v>
      </c>
      <c r="AK85">
        <v>401.79</v>
      </c>
      <c r="AL85">
        <v>369.38</v>
      </c>
      <c r="AM85">
        <v>1.2</v>
      </c>
      <c r="AN85">
        <v>0</v>
      </c>
      <c r="AO85">
        <v>31.21</v>
      </c>
      <c r="AP85">
        <v>0</v>
      </c>
      <c r="AQ85">
        <v>1.93</v>
      </c>
      <c r="AR85">
        <v>0</v>
      </c>
      <c r="AS85">
        <v>0</v>
      </c>
      <c r="AT85">
        <v>108</v>
      </c>
      <c r="AU85">
        <v>55</v>
      </c>
      <c r="AV85">
        <v>1</v>
      </c>
      <c r="AW85">
        <v>1</v>
      </c>
      <c r="AZ85">
        <v>1</v>
      </c>
      <c r="BA85">
        <v>9.82</v>
      </c>
      <c r="BB85">
        <v>5.8</v>
      </c>
      <c r="BC85">
        <v>5.57</v>
      </c>
      <c r="BH85">
        <v>0</v>
      </c>
      <c r="BI85">
        <v>1</v>
      </c>
      <c r="BJ85" t="s">
        <v>193</v>
      </c>
      <c r="BM85">
        <v>12001</v>
      </c>
      <c r="BN85">
        <v>0</v>
      </c>
      <c r="BO85" t="s">
        <v>190</v>
      </c>
      <c r="BP85">
        <v>1</v>
      </c>
      <c r="BQ85">
        <v>2</v>
      </c>
      <c r="BR85">
        <v>0</v>
      </c>
      <c r="BS85">
        <v>9.82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120</v>
      </c>
      <c r="CA85">
        <v>65</v>
      </c>
      <c r="CE85">
        <v>0</v>
      </c>
      <c r="CF85">
        <v>0</v>
      </c>
      <c r="CG85">
        <v>0</v>
      </c>
      <c r="CM85">
        <v>0</v>
      </c>
      <c r="CN85" t="s">
        <v>721</v>
      </c>
      <c r="CO85">
        <v>0</v>
      </c>
      <c r="CP85">
        <f t="shared" si="86"/>
        <v>30106.51</v>
      </c>
      <c r="CQ85">
        <f t="shared" si="87"/>
        <v>2057.4466</v>
      </c>
      <c r="CR85">
        <f t="shared" si="88"/>
        <v>10.904</v>
      </c>
      <c r="CS85">
        <f t="shared" si="89"/>
        <v>0</v>
      </c>
      <c r="CT85">
        <f t="shared" si="90"/>
        <v>440.5252</v>
      </c>
      <c r="CU85">
        <f t="shared" si="91"/>
        <v>0</v>
      </c>
      <c r="CV85">
        <f t="shared" si="92"/>
        <v>2.7743749999999996</v>
      </c>
      <c r="CW85">
        <f t="shared" si="93"/>
        <v>0</v>
      </c>
      <c r="CX85">
        <f t="shared" si="94"/>
        <v>0</v>
      </c>
      <c r="CY85">
        <f t="shared" si="95"/>
        <v>5709.204000000001</v>
      </c>
      <c r="CZ85">
        <f t="shared" si="96"/>
        <v>2907.465</v>
      </c>
      <c r="DE85" t="s">
        <v>139</v>
      </c>
      <c r="DF85" t="s">
        <v>139</v>
      </c>
      <c r="DG85" t="s">
        <v>140</v>
      </c>
      <c r="DI85" t="s">
        <v>140</v>
      </c>
      <c r="DJ85" t="s">
        <v>139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192</v>
      </c>
      <c r="DW85" t="s">
        <v>192</v>
      </c>
      <c r="DX85">
        <v>1</v>
      </c>
      <c r="EE85">
        <v>48034390</v>
      </c>
      <c r="EF85">
        <v>2</v>
      </c>
      <c r="EG85" t="s">
        <v>20</v>
      </c>
      <c r="EH85">
        <v>0</v>
      </c>
      <c r="EJ85">
        <v>1</v>
      </c>
      <c r="EK85">
        <v>12001</v>
      </c>
      <c r="EL85" t="s">
        <v>172</v>
      </c>
      <c r="EM85" t="s">
        <v>173</v>
      </c>
      <c r="EO85" t="s">
        <v>143</v>
      </c>
      <c r="EQ85">
        <v>512</v>
      </c>
      <c r="ER85">
        <v>401.79</v>
      </c>
      <c r="ES85">
        <v>369.38</v>
      </c>
      <c r="ET85">
        <v>1.2</v>
      </c>
      <c r="EU85">
        <v>0</v>
      </c>
      <c r="EV85">
        <v>31.21</v>
      </c>
      <c r="EW85">
        <v>1.93</v>
      </c>
      <c r="EX85">
        <v>0</v>
      </c>
      <c r="EY85">
        <v>0</v>
      </c>
      <c r="FQ85">
        <v>0</v>
      </c>
      <c r="FR85">
        <f t="shared" si="97"/>
        <v>0</v>
      </c>
      <c r="FS85">
        <v>0</v>
      </c>
      <c r="FT85" t="s">
        <v>24</v>
      </c>
      <c r="FU85" t="s">
        <v>25</v>
      </c>
      <c r="FX85">
        <v>108</v>
      </c>
      <c r="FY85">
        <v>55.25</v>
      </c>
      <c r="GD85">
        <v>1</v>
      </c>
      <c r="GF85">
        <v>71022385</v>
      </c>
      <c r="GG85">
        <v>2</v>
      </c>
      <c r="GH85">
        <v>1</v>
      </c>
      <c r="GI85">
        <v>2</v>
      </c>
      <c r="GJ85">
        <v>0</v>
      </c>
      <c r="GK85">
        <v>0</v>
      </c>
      <c r="GL85">
        <f t="shared" si="98"/>
        <v>0</v>
      </c>
      <c r="GM85">
        <f t="shared" si="99"/>
        <v>38723.18</v>
      </c>
      <c r="GN85">
        <f t="shared" si="100"/>
        <v>38723.18</v>
      </c>
      <c r="GO85">
        <f t="shared" si="101"/>
        <v>0</v>
      </c>
      <c r="GP85">
        <f t="shared" si="102"/>
        <v>0</v>
      </c>
      <c r="GR85">
        <v>0</v>
      </c>
      <c r="GS85">
        <v>3</v>
      </c>
      <c r="GT85">
        <v>0</v>
      </c>
      <c r="GV85">
        <f t="shared" si="103"/>
        <v>0</v>
      </c>
      <c r="GW85">
        <v>1</v>
      </c>
      <c r="GX85">
        <f t="shared" si="104"/>
        <v>0</v>
      </c>
      <c r="HA85">
        <v>0</v>
      </c>
      <c r="HB85">
        <v>0</v>
      </c>
      <c r="HC85">
        <f t="shared" si="105"/>
        <v>0</v>
      </c>
      <c r="IK85">
        <v>0</v>
      </c>
    </row>
    <row r="86" spans="1:245" ht="12.75">
      <c r="A86">
        <v>17</v>
      </c>
      <c r="B86">
        <v>1</v>
      </c>
      <c r="C86">
        <f>ROW(SmtRes!A96)</f>
        <v>96</v>
      </c>
      <c r="D86">
        <f>ROW(EtalonRes!A91)</f>
        <v>91</v>
      </c>
      <c r="E86" t="s">
        <v>194</v>
      </c>
      <c r="F86" t="s">
        <v>195</v>
      </c>
      <c r="G86" t="s">
        <v>196</v>
      </c>
      <c r="H86" t="s">
        <v>29</v>
      </c>
      <c r="I86">
        <v>8</v>
      </c>
      <c r="J86">
        <v>0</v>
      </c>
      <c r="O86">
        <f t="shared" si="71"/>
        <v>1396304.95</v>
      </c>
      <c r="P86">
        <f t="shared" si="72"/>
        <v>993336.52</v>
      </c>
      <c r="Q86">
        <f t="shared" si="73"/>
        <v>52874.43</v>
      </c>
      <c r="R86">
        <f t="shared" si="74"/>
        <v>5058.48</v>
      </c>
      <c r="S86">
        <f t="shared" si="75"/>
        <v>350094</v>
      </c>
      <c r="T86">
        <f t="shared" si="76"/>
        <v>0</v>
      </c>
      <c r="U86">
        <f t="shared" si="77"/>
        <v>1999.5049999999997</v>
      </c>
      <c r="V86">
        <f t="shared" si="78"/>
        <v>21</v>
      </c>
      <c r="W86">
        <f t="shared" si="79"/>
        <v>0</v>
      </c>
      <c r="X86">
        <f t="shared" si="80"/>
        <v>383564.68</v>
      </c>
      <c r="Y86">
        <f t="shared" si="81"/>
        <v>195333.86</v>
      </c>
      <c r="AA86">
        <v>51669678</v>
      </c>
      <c r="AB86">
        <f t="shared" si="82"/>
        <v>25203.77</v>
      </c>
      <c r="AC86">
        <f t="shared" si="83"/>
        <v>19615.65</v>
      </c>
      <c r="AD86">
        <f>ROUND((((((ET86*1.25)*1.25))-(((EU86*1.25)*1.25)))+AE86),2)</f>
        <v>1131.73</v>
      </c>
      <c r="AE86">
        <f>ROUND((((EU86*1.25)*1.25)),2)</f>
        <v>64.39</v>
      </c>
      <c r="AF86">
        <f>ROUND((((EV86*1.15)*1.25)),2)</f>
        <v>4456.39</v>
      </c>
      <c r="AG86">
        <f t="shared" si="84"/>
        <v>0</v>
      </c>
      <c r="AH86">
        <f>(((EW86*1.15)*1.25))</f>
        <v>249.93812499999996</v>
      </c>
      <c r="AI86">
        <f>(((EX86*1.25)*1.25))</f>
        <v>2.625</v>
      </c>
      <c r="AJ86">
        <f t="shared" si="85"/>
        <v>0</v>
      </c>
      <c r="AK86">
        <v>23440.06</v>
      </c>
      <c r="AL86">
        <v>19615.65</v>
      </c>
      <c r="AM86">
        <v>724.31</v>
      </c>
      <c r="AN86">
        <v>41.21</v>
      </c>
      <c r="AO86">
        <v>3100.1</v>
      </c>
      <c r="AP86">
        <v>0</v>
      </c>
      <c r="AQ86">
        <v>173.87</v>
      </c>
      <c r="AR86">
        <v>1.68</v>
      </c>
      <c r="AS86">
        <v>0</v>
      </c>
      <c r="AT86">
        <v>108</v>
      </c>
      <c r="AU86">
        <v>55</v>
      </c>
      <c r="AV86">
        <v>1</v>
      </c>
      <c r="AW86">
        <v>1</v>
      </c>
      <c r="AZ86">
        <v>1</v>
      </c>
      <c r="BA86">
        <v>9.82</v>
      </c>
      <c r="BB86">
        <v>5.84</v>
      </c>
      <c r="BC86">
        <v>6.33</v>
      </c>
      <c r="BH86">
        <v>0</v>
      </c>
      <c r="BI86">
        <v>1</v>
      </c>
      <c r="BJ86" t="s">
        <v>197</v>
      </c>
      <c r="BM86">
        <v>12001</v>
      </c>
      <c r="BN86">
        <v>0</v>
      </c>
      <c r="BO86" t="s">
        <v>195</v>
      </c>
      <c r="BP86">
        <v>1</v>
      </c>
      <c r="BQ86">
        <v>2</v>
      </c>
      <c r="BR86">
        <v>0</v>
      </c>
      <c r="BS86">
        <v>9.82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120</v>
      </c>
      <c r="CA86">
        <v>65</v>
      </c>
      <c r="CE86">
        <v>0</v>
      </c>
      <c r="CF86">
        <v>0</v>
      </c>
      <c r="CG86">
        <v>0</v>
      </c>
      <c r="CM86">
        <v>0</v>
      </c>
      <c r="CN86" t="s">
        <v>722</v>
      </c>
      <c r="CO86">
        <v>0</v>
      </c>
      <c r="CP86">
        <f t="shared" si="86"/>
        <v>1396304.9500000002</v>
      </c>
      <c r="CQ86">
        <f t="shared" si="87"/>
        <v>124167.06450000001</v>
      </c>
      <c r="CR86">
        <f t="shared" si="88"/>
        <v>6609.3032</v>
      </c>
      <c r="CS86">
        <f t="shared" si="89"/>
        <v>632.3098</v>
      </c>
      <c r="CT86">
        <f t="shared" si="90"/>
        <v>43761.749800000005</v>
      </c>
      <c r="CU86">
        <f t="shared" si="91"/>
        <v>0</v>
      </c>
      <c r="CV86">
        <f t="shared" si="92"/>
        <v>249.93812499999996</v>
      </c>
      <c r="CW86">
        <f t="shared" si="93"/>
        <v>2.625</v>
      </c>
      <c r="CX86">
        <f t="shared" si="94"/>
        <v>0</v>
      </c>
      <c r="CY86">
        <f t="shared" si="95"/>
        <v>383564.6784</v>
      </c>
      <c r="CZ86">
        <f t="shared" si="96"/>
        <v>195333.86399999997</v>
      </c>
      <c r="DE86" t="s">
        <v>139</v>
      </c>
      <c r="DF86" t="s">
        <v>139</v>
      </c>
      <c r="DG86" t="s">
        <v>140</v>
      </c>
      <c r="DI86" t="s">
        <v>140</v>
      </c>
      <c r="DJ86" t="s">
        <v>139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29</v>
      </c>
      <c r="DW86" t="s">
        <v>29</v>
      </c>
      <c r="DX86">
        <v>1</v>
      </c>
      <c r="EE86">
        <v>48034390</v>
      </c>
      <c r="EF86">
        <v>2</v>
      </c>
      <c r="EG86" t="s">
        <v>20</v>
      </c>
      <c r="EH86">
        <v>0</v>
      </c>
      <c r="EJ86">
        <v>1</v>
      </c>
      <c r="EK86">
        <v>12001</v>
      </c>
      <c r="EL86" t="s">
        <v>172</v>
      </c>
      <c r="EM86" t="s">
        <v>173</v>
      </c>
      <c r="EO86" t="s">
        <v>198</v>
      </c>
      <c r="EQ86">
        <v>512</v>
      </c>
      <c r="ER86">
        <v>23440.06</v>
      </c>
      <c r="ES86">
        <v>19615.65</v>
      </c>
      <c r="ET86">
        <v>724.31</v>
      </c>
      <c r="EU86">
        <v>41.21</v>
      </c>
      <c r="EV86">
        <v>3100.1</v>
      </c>
      <c r="EW86">
        <v>173.87</v>
      </c>
      <c r="EX86">
        <v>1.68</v>
      </c>
      <c r="EY86">
        <v>0</v>
      </c>
      <c r="FQ86">
        <v>0</v>
      </c>
      <c r="FR86">
        <f t="shared" si="97"/>
        <v>0</v>
      </c>
      <c r="FS86">
        <v>0</v>
      </c>
      <c r="FT86" t="s">
        <v>24</v>
      </c>
      <c r="FU86" t="s">
        <v>25</v>
      </c>
      <c r="FX86">
        <v>108</v>
      </c>
      <c r="FY86">
        <v>55.25</v>
      </c>
      <c r="GD86">
        <v>1</v>
      </c>
      <c r="GF86">
        <v>1039260446</v>
      </c>
      <c r="GG86">
        <v>2</v>
      </c>
      <c r="GH86">
        <v>1</v>
      </c>
      <c r="GI86">
        <v>2</v>
      </c>
      <c r="GJ86">
        <v>0</v>
      </c>
      <c r="GK86">
        <v>0</v>
      </c>
      <c r="GL86">
        <f t="shared" si="98"/>
        <v>0</v>
      </c>
      <c r="GM86">
        <f t="shared" si="99"/>
        <v>1975203.49</v>
      </c>
      <c r="GN86">
        <f t="shared" si="100"/>
        <v>1975203.49</v>
      </c>
      <c r="GO86">
        <f t="shared" si="101"/>
        <v>0</v>
      </c>
      <c r="GP86">
        <f t="shared" si="102"/>
        <v>0</v>
      </c>
      <c r="GR86">
        <v>0</v>
      </c>
      <c r="GS86">
        <v>3</v>
      </c>
      <c r="GT86">
        <v>0</v>
      </c>
      <c r="GV86">
        <f t="shared" si="103"/>
        <v>0</v>
      </c>
      <c r="GW86">
        <v>1</v>
      </c>
      <c r="GX86">
        <f t="shared" si="104"/>
        <v>0</v>
      </c>
      <c r="HA86">
        <v>0</v>
      </c>
      <c r="HB86">
        <v>0</v>
      </c>
      <c r="HC86">
        <f t="shared" si="105"/>
        <v>0</v>
      </c>
      <c r="IK86">
        <v>0</v>
      </c>
    </row>
    <row r="87" spans="1:245" ht="12.75">
      <c r="A87">
        <v>18</v>
      </c>
      <c r="B87">
        <v>1</v>
      </c>
      <c r="C87">
        <v>94</v>
      </c>
      <c r="E87" t="s">
        <v>199</v>
      </c>
      <c r="F87" t="s">
        <v>200</v>
      </c>
      <c r="G87" t="s">
        <v>201</v>
      </c>
      <c r="H87" t="s">
        <v>202</v>
      </c>
      <c r="I87">
        <f>I86*J87</f>
        <v>44</v>
      </c>
      <c r="J87">
        <v>5.5</v>
      </c>
      <c r="O87">
        <f t="shared" si="71"/>
        <v>19250</v>
      </c>
      <c r="P87">
        <f t="shared" si="72"/>
        <v>19250</v>
      </c>
      <c r="Q87">
        <f t="shared" si="73"/>
        <v>0</v>
      </c>
      <c r="R87">
        <f t="shared" si="74"/>
        <v>0</v>
      </c>
      <c r="S87">
        <f t="shared" si="75"/>
        <v>0</v>
      </c>
      <c r="T87">
        <f t="shared" si="76"/>
        <v>0</v>
      </c>
      <c r="U87">
        <f t="shared" si="77"/>
        <v>0</v>
      </c>
      <c r="V87">
        <f t="shared" si="78"/>
        <v>0</v>
      </c>
      <c r="W87">
        <f t="shared" si="79"/>
        <v>0</v>
      </c>
      <c r="X87">
        <f t="shared" si="80"/>
        <v>0</v>
      </c>
      <c r="Y87">
        <f t="shared" si="81"/>
        <v>0</v>
      </c>
      <c r="AA87">
        <v>51669678</v>
      </c>
      <c r="AB87">
        <f t="shared" si="82"/>
        <v>437.5</v>
      </c>
      <c r="AC87">
        <f t="shared" si="83"/>
        <v>437.5</v>
      </c>
      <c r="AD87">
        <f>ROUND((((ET87)-(EU87))+AE87),2)</f>
        <v>0</v>
      </c>
      <c r="AE87">
        <f aca="true" t="shared" si="106" ref="AE87:AF89">ROUND((EU87),2)</f>
        <v>0</v>
      </c>
      <c r="AF87">
        <f t="shared" si="106"/>
        <v>0</v>
      </c>
      <c r="AG87">
        <f t="shared" si="84"/>
        <v>0</v>
      </c>
      <c r="AH87">
        <f aca="true" t="shared" si="107" ref="AH87:AI89">(EW87)</f>
        <v>0</v>
      </c>
      <c r="AI87">
        <f t="shared" si="107"/>
        <v>0</v>
      </c>
      <c r="AJ87">
        <f t="shared" si="85"/>
        <v>0</v>
      </c>
      <c r="AK87">
        <v>437.5</v>
      </c>
      <c r="AL87">
        <v>437.5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4</v>
      </c>
      <c r="BM87">
        <v>0</v>
      </c>
      <c r="BN87">
        <v>0</v>
      </c>
      <c r="BP87">
        <v>0</v>
      </c>
      <c r="BQ87">
        <v>16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O87">
        <v>0</v>
      </c>
      <c r="CP87">
        <f t="shared" si="86"/>
        <v>19250</v>
      </c>
      <c r="CQ87">
        <f t="shared" si="87"/>
        <v>437.5</v>
      </c>
      <c r="CR87">
        <f t="shared" si="88"/>
        <v>0</v>
      </c>
      <c r="CS87">
        <f t="shared" si="89"/>
        <v>0</v>
      </c>
      <c r="CT87">
        <f t="shared" si="90"/>
        <v>0</v>
      </c>
      <c r="CU87">
        <f t="shared" si="91"/>
        <v>0</v>
      </c>
      <c r="CV87">
        <f t="shared" si="92"/>
        <v>0</v>
      </c>
      <c r="CW87">
        <f t="shared" si="93"/>
        <v>0</v>
      </c>
      <c r="CX87">
        <f t="shared" si="94"/>
        <v>0</v>
      </c>
      <c r="CY87">
        <f t="shared" si="95"/>
        <v>0</v>
      </c>
      <c r="CZ87">
        <f t="shared" si="96"/>
        <v>0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202</v>
      </c>
      <c r="DW87" t="s">
        <v>202</v>
      </c>
      <c r="DX87">
        <v>1</v>
      </c>
      <c r="EE87">
        <v>48034329</v>
      </c>
      <c r="EF87">
        <v>16</v>
      </c>
      <c r="EG87" t="s">
        <v>203</v>
      </c>
      <c r="EH87">
        <v>0</v>
      </c>
      <c r="EJ87">
        <v>4</v>
      </c>
      <c r="EK87">
        <v>0</v>
      </c>
      <c r="EL87" t="s">
        <v>204</v>
      </c>
      <c r="EM87" t="s">
        <v>205</v>
      </c>
      <c r="EQ87">
        <v>0</v>
      </c>
      <c r="ER87">
        <v>437.5</v>
      </c>
      <c r="ES87">
        <v>437.5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5</v>
      </c>
      <c r="FC87">
        <v>1</v>
      </c>
      <c r="FD87">
        <v>18</v>
      </c>
      <c r="FF87">
        <v>525</v>
      </c>
      <c r="FQ87">
        <v>0</v>
      </c>
      <c r="FR87">
        <f t="shared" si="97"/>
        <v>0</v>
      </c>
      <c r="FS87">
        <v>0</v>
      </c>
      <c r="FX87">
        <v>0</v>
      </c>
      <c r="FY87">
        <v>0</v>
      </c>
      <c r="GA87" t="s">
        <v>206</v>
      </c>
      <c r="GD87">
        <v>1</v>
      </c>
      <c r="GF87">
        <v>1639412660</v>
      </c>
      <c r="GG87">
        <v>2</v>
      </c>
      <c r="GH87">
        <v>3</v>
      </c>
      <c r="GI87">
        <v>-2</v>
      </c>
      <c r="GJ87">
        <v>0</v>
      </c>
      <c r="GK87">
        <v>0</v>
      </c>
      <c r="GL87">
        <f t="shared" si="98"/>
        <v>0</v>
      </c>
      <c r="GM87">
        <f t="shared" si="99"/>
        <v>19250</v>
      </c>
      <c r="GN87">
        <f t="shared" si="100"/>
        <v>0</v>
      </c>
      <c r="GO87">
        <f t="shared" si="101"/>
        <v>0</v>
      </c>
      <c r="GP87">
        <f t="shared" si="102"/>
        <v>19250</v>
      </c>
      <c r="GR87">
        <v>1</v>
      </c>
      <c r="GS87">
        <v>1</v>
      </c>
      <c r="GT87">
        <v>0</v>
      </c>
      <c r="GV87">
        <f t="shared" si="103"/>
        <v>0</v>
      </c>
      <c r="GW87">
        <v>1</v>
      </c>
      <c r="GX87">
        <f t="shared" si="104"/>
        <v>0</v>
      </c>
      <c r="HA87">
        <v>0</v>
      </c>
      <c r="HB87">
        <v>0</v>
      </c>
      <c r="HC87">
        <f t="shared" si="105"/>
        <v>0</v>
      </c>
      <c r="IK87">
        <v>0</v>
      </c>
    </row>
    <row r="88" spans="1:245" ht="12.75">
      <c r="A88">
        <v>18</v>
      </c>
      <c r="B88">
        <v>1</v>
      </c>
      <c r="C88">
        <v>95</v>
      </c>
      <c r="E88" t="s">
        <v>207</v>
      </c>
      <c r="F88" t="s">
        <v>200</v>
      </c>
      <c r="G88" t="s">
        <v>208</v>
      </c>
      <c r="H88" t="s">
        <v>202</v>
      </c>
      <c r="I88">
        <f>I86*J88</f>
        <v>66</v>
      </c>
      <c r="J88">
        <v>8.25</v>
      </c>
      <c r="O88">
        <f t="shared" si="71"/>
        <v>17600.22</v>
      </c>
      <c r="P88">
        <f t="shared" si="72"/>
        <v>17600.22</v>
      </c>
      <c r="Q88">
        <f t="shared" si="73"/>
        <v>0</v>
      </c>
      <c r="R88">
        <f t="shared" si="74"/>
        <v>0</v>
      </c>
      <c r="S88">
        <f t="shared" si="75"/>
        <v>0</v>
      </c>
      <c r="T88">
        <f t="shared" si="76"/>
        <v>0</v>
      </c>
      <c r="U88">
        <f t="shared" si="77"/>
        <v>0</v>
      </c>
      <c r="V88">
        <f t="shared" si="78"/>
        <v>0</v>
      </c>
      <c r="W88">
        <f t="shared" si="79"/>
        <v>0</v>
      </c>
      <c r="X88">
        <f t="shared" si="80"/>
        <v>0</v>
      </c>
      <c r="Y88">
        <f t="shared" si="81"/>
        <v>0</v>
      </c>
      <c r="AA88">
        <v>51669678</v>
      </c>
      <c r="AB88">
        <f t="shared" si="82"/>
        <v>266.67</v>
      </c>
      <c r="AC88">
        <f t="shared" si="83"/>
        <v>266.67</v>
      </c>
      <c r="AD88">
        <f>ROUND((((ET88)-(EU88))+AE88),2)</f>
        <v>0</v>
      </c>
      <c r="AE88">
        <f t="shared" si="106"/>
        <v>0</v>
      </c>
      <c r="AF88">
        <f t="shared" si="106"/>
        <v>0</v>
      </c>
      <c r="AG88">
        <f t="shared" si="84"/>
        <v>0</v>
      </c>
      <c r="AH88">
        <f t="shared" si="107"/>
        <v>0</v>
      </c>
      <c r="AI88">
        <f t="shared" si="107"/>
        <v>0</v>
      </c>
      <c r="AJ88">
        <f t="shared" si="85"/>
        <v>0</v>
      </c>
      <c r="AK88">
        <v>266.67</v>
      </c>
      <c r="AL88">
        <v>266.67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H88">
        <v>3</v>
      </c>
      <c r="BI88">
        <v>4</v>
      </c>
      <c r="BM88">
        <v>0</v>
      </c>
      <c r="BN88">
        <v>0</v>
      </c>
      <c r="BP88">
        <v>0</v>
      </c>
      <c r="BQ88">
        <v>16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0</v>
      </c>
      <c r="CA88">
        <v>0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si="86"/>
        <v>17600.22</v>
      </c>
      <c r="CQ88">
        <f t="shared" si="87"/>
        <v>266.67</v>
      </c>
      <c r="CR88">
        <f t="shared" si="88"/>
        <v>0</v>
      </c>
      <c r="CS88">
        <f t="shared" si="89"/>
        <v>0</v>
      </c>
      <c r="CT88">
        <f t="shared" si="90"/>
        <v>0</v>
      </c>
      <c r="CU88">
        <f t="shared" si="91"/>
        <v>0</v>
      </c>
      <c r="CV88">
        <f t="shared" si="92"/>
        <v>0</v>
      </c>
      <c r="CW88">
        <f t="shared" si="93"/>
        <v>0</v>
      </c>
      <c r="CX88">
        <f t="shared" si="94"/>
        <v>0</v>
      </c>
      <c r="CY88">
        <f t="shared" si="95"/>
        <v>0</v>
      </c>
      <c r="CZ88">
        <f t="shared" si="96"/>
        <v>0</v>
      </c>
      <c r="DN88">
        <v>0</v>
      </c>
      <c r="DO88">
        <v>0</v>
      </c>
      <c r="DP88">
        <v>1</v>
      </c>
      <c r="DQ88">
        <v>1</v>
      </c>
      <c r="DU88">
        <v>1010</v>
      </c>
      <c r="DV88" t="s">
        <v>202</v>
      </c>
      <c r="DW88" t="s">
        <v>202</v>
      </c>
      <c r="DX88">
        <v>1</v>
      </c>
      <c r="EE88">
        <v>48034329</v>
      </c>
      <c r="EF88">
        <v>16</v>
      </c>
      <c r="EG88" t="s">
        <v>203</v>
      </c>
      <c r="EH88">
        <v>0</v>
      </c>
      <c r="EJ88">
        <v>4</v>
      </c>
      <c r="EK88">
        <v>0</v>
      </c>
      <c r="EL88" t="s">
        <v>204</v>
      </c>
      <c r="EM88" t="s">
        <v>205</v>
      </c>
      <c r="EQ88">
        <v>0</v>
      </c>
      <c r="ER88">
        <v>266.67</v>
      </c>
      <c r="ES88">
        <v>266.67</v>
      </c>
      <c r="ET88">
        <v>0</v>
      </c>
      <c r="EU88">
        <v>0</v>
      </c>
      <c r="EV88">
        <v>0</v>
      </c>
      <c r="EW88">
        <v>0</v>
      </c>
      <c r="EX88">
        <v>0</v>
      </c>
      <c r="EZ88">
        <v>5</v>
      </c>
      <c r="FC88">
        <v>1</v>
      </c>
      <c r="FD88">
        <v>18</v>
      </c>
      <c r="FF88">
        <v>320</v>
      </c>
      <c r="FQ88">
        <v>0</v>
      </c>
      <c r="FR88">
        <f t="shared" si="97"/>
        <v>0</v>
      </c>
      <c r="FS88">
        <v>0</v>
      </c>
      <c r="FX88">
        <v>0</v>
      </c>
      <c r="FY88">
        <v>0</v>
      </c>
      <c r="GA88" t="s">
        <v>209</v>
      </c>
      <c r="GD88">
        <v>1</v>
      </c>
      <c r="GF88">
        <v>-83094837</v>
      </c>
      <c r="GG88">
        <v>2</v>
      </c>
      <c r="GH88">
        <v>3</v>
      </c>
      <c r="GI88">
        <v>-2</v>
      </c>
      <c r="GJ88">
        <v>0</v>
      </c>
      <c r="GK88">
        <v>0</v>
      </c>
      <c r="GL88">
        <f t="shared" si="98"/>
        <v>0</v>
      </c>
      <c r="GM88">
        <f t="shared" si="99"/>
        <v>17600.22</v>
      </c>
      <c r="GN88">
        <f t="shared" si="100"/>
        <v>0</v>
      </c>
      <c r="GO88">
        <f t="shared" si="101"/>
        <v>0</v>
      </c>
      <c r="GP88">
        <f t="shared" si="102"/>
        <v>17600.22</v>
      </c>
      <c r="GR88">
        <v>1</v>
      </c>
      <c r="GS88">
        <v>1</v>
      </c>
      <c r="GT88">
        <v>0</v>
      </c>
      <c r="GV88">
        <f t="shared" si="103"/>
        <v>0</v>
      </c>
      <c r="GW88">
        <v>1</v>
      </c>
      <c r="GX88">
        <f t="shared" si="104"/>
        <v>0</v>
      </c>
      <c r="HA88">
        <v>0</v>
      </c>
      <c r="HB88">
        <v>0</v>
      </c>
      <c r="HC88">
        <f t="shared" si="105"/>
        <v>0</v>
      </c>
      <c r="IK88">
        <v>0</v>
      </c>
    </row>
    <row r="89" spans="1:245" ht="12.75">
      <c r="A89">
        <v>18</v>
      </c>
      <c r="B89">
        <v>1</v>
      </c>
      <c r="C89">
        <v>96</v>
      </c>
      <c r="E89" t="s">
        <v>210</v>
      </c>
      <c r="F89" t="s">
        <v>200</v>
      </c>
      <c r="G89" t="s">
        <v>211</v>
      </c>
      <c r="H89" t="s">
        <v>212</v>
      </c>
      <c r="I89">
        <f>I86*J89</f>
        <v>2</v>
      </c>
      <c r="J89">
        <v>0.25</v>
      </c>
      <c r="O89">
        <f t="shared" si="71"/>
        <v>3833.34</v>
      </c>
      <c r="P89">
        <f t="shared" si="72"/>
        <v>3833.34</v>
      </c>
      <c r="Q89">
        <f t="shared" si="73"/>
        <v>0</v>
      </c>
      <c r="R89">
        <f t="shared" si="74"/>
        <v>0</v>
      </c>
      <c r="S89">
        <f t="shared" si="75"/>
        <v>0</v>
      </c>
      <c r="T89">
        <f t="shared" si="76"/>
        <v>0</v>
      </c>
      <c r="U89">
        <f t="shared" si="77"/>
        <v>0</v>
      </c>
      <c r="V89">
        <f t="shared" si="78"/>
        <v>0</v>
      </c>
      <c r="W89">
        <f t="shared" si="79"/>
        <v>0</v>
      </c>
      <c r="X89">
        <f t="shared" si="80"/>
        <v>0</v>
      </c>
      <c r="Y89">
        <f t="shared" si="81"/>
        <v>0</v>
      </c>
      <c r="AA89">
        <v>51669678</v>
      </c>
      <c r="AB89">
        <f t="shared" si="82"/>
        <v>1916.67</v>
      </c>
      <c r="AC89">
        <f t="shared" si="83"/>
        <v>1916.67</v>
      </c>
      <c r="AD89">
        <f>ROUND((((ET89)-(EU89))+AE89),2)</f>
        <v>0</v>
      </c>
      <c r="AE89">
        <f t="shared" si="106"/>
        <v>0</v>
      </c>
      <c r="AF89">
        <f t="shared" si="106"/>
        <v>0</v>
      </c>
      <c r="AG89">
        <f t="shared" si="84"/>
        <v>0</v>
      </c>
      <c r="AH89">
        <f t="shared" si="107"/>
        <v>0</v>
      </c>
      <c r="AI89">
        <f t="shared" si="107"/>
        <v>0</v>
      </c>
      <c r="AJ89">
        <f t="shared" si="85"/>
        <v>0</v>
      </c>
      <c r="AK89">
        <v>1916.67</v>
      </c>
      <c r="AL89">
        <v>1916.67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4</v>
      </c>
      <c r="BM89">
        <v>0</v>
      </c>
      <c r="BN89">
        <v>0</v>
      </c>
      <c r="BP89">
        <v>0</v>
      </c>
      <c r="BQ89">
        <v>16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86"/>
        <v>3833.34</v>
      </c>
      <c r="CQ89">
        <f t="shared" si="87"/>
        <v>1916.67</v>
      </c>
      <c r="CR89">
        <f t="shared" si="88"/>
        <v>0</v>
      </c>
      <c r="CS89">
        <f t="shared" si="89"/>
        <v>0</v>
      </c>
      <c r="CT89">
        <f t="shared" si="90"/>
        <v>0</v>
      </c>
      <c r="CU89">
        <f t="shared" si="91"/>
        <v>0</v>
      </c>
      <c r="CV89">
        <f t="shared" si="92"/>
        <v>0</v>
      </c>
      <c r="CW89">
        <f t="shared" si="93"/>
        <v>0</v>
      </c>
      <c r="CX89">
        <f t="shared" si="94"/>
        <v>0</v>
      </c>
      <c r="CY89">
        <f t="shared" si="95"/>
        <v>0</v>
      </c>
      <c r="CZ89">
        <f t="shared" si="96"/>
        <v>0</v>
      </c>
      <c r="DN89">
        <v>0</v>
      </c>
      <c r="DO89">
        <v>0</v>
      </c>
      <c r="DP89">
        <v>1</v>
      </c>
      <c r="DQ89">
        <v>1</v>
      </c>
      <c r="DU89">
        <v>1003</v>
      </c>
      <c r="DV89" t="s">
        <v>212</v>
      </c>
      <c r="DW89" t="s">
        <v>212</v>
      </c>
      <c r="DX89">
        <v>1</v>
      </c>
      <c r="EE89">
        <v>48034329</v>
      </c>
      <c r="EF89">
        <v>16</v>
      </c>
      <c r="EG89" t="s">
        <v>203</v>
      </c>
      <c r="EH89">
        <v>0</v>
      </c>
      <c r="EJ89">
        <v>4</v>
      </c>
      <c r="EK89">
        <v>0</v>
      </c>
      <c r="EL89" t="s">
        <v>204</v>
      </c>
      <c r="EM89" t="s">
        <v>205</v>
      </c>
      <c r="EQ89">
        <v>0</v>
      </c>
      <c r="ER89">
        <v>1916.67</v>
      </c>
      <c r="ES89">
        <v>1916.67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5</v>
      </c>
      <c r="FC89">
        <v>1</v>
      </c>
      <c r="FD89">
        <v>18</v>
      </c>
      <c r="FF89">
        <v>2300</v>
      </c>
      <c r="FQ89">
        <v>0</v>
      </c>
      <c r="FR89">
        <f t="shared" si="97"/>
        <v>0</v>
      </c>
      <c r="FS89">
        <v>0</v>
      </c>
      <c r="FX89">
        <v>0</v>
      </c>
      <c r="FY89">
        <v>0</v>
      </c>
      <c r="GA89" t="s">
        <v>213</v>
      </c>
      <c r="GD89">
        <v>1</v>
      </c>
      <c r="GF89">
        <v>1354884828</v>
      </c>
      <c r="GG89">
        <v>2</v>
      </c>
      <c r="GH89">
        <v>3</v>
      </c>
      <c r="GI89">
        <v>-2</v>
      </c>
      <c r="GJ89">
        <v>0</v>
      </c>
      <c r="GK89">
        <v>0</v>
      </c>
      <c r="GL89">
        <f t="shared" si="98"/>
        <v>0</v>
      </c>
      <c r="GM89">
        <f t="shared" si="99"/>
        <v>3833.34</v>
      </c>
      <c r="GN89">
        <f t="shared" si="100"/>
        <v>0</v>
      </c>
      <c r="GO89">
        <f t="shared" si="101"/>
        <v>0</v>
      </c>
      <c r="GP89">
        <f t="shared" si="102"/>
        <v>3833.34</v>
      </c>
      <c r="GR89">
        <v>1</v>
      </c>
      <c r="GS89">
        <v>1</v>
      </c>
      <c r="GT89">
        <v>0</v>
      </c>
      <c r="GV89">
        <f t="shared" si="103"/>
        <v>0</v>
      </c>
      <c r="GW89">
        <v>1</v>
      </c>
      <c r="GX89">
        <f t="shared" si="104"/>
        <v>0</v>
      </c>
      <c r="HA89">
        <v>0</v>
      </c>
      <c r="HB89">
        <v>0</v>
      </c>
      <c r="HC89">
        <f t="shared" si="105"/>
        <v>0</v>
      </c>
      <c r="IK89">
        <v>0</v>
      </c>
    </row>
    <row r="90" spans="1:245" ht="12.75">
      <c r="A90">
        <v>17</v>
      </c>
      <c r="B90">
        <v>1</v>
      </c>
      <c r="C90">
        <f>ROW(SmtRes!A107)</f>
        <v>107</v>
      </c>
      <c r="D90">
        <f>ROW(EtalonRes!A102)</f>
        <v>102</v>
      </c>
      <c r="E90" t="s">
        <v>214</v>
      </c>
      <c r="F90" t="s">
        <v>215</v>
      </c>
      <c r="G90" t="s">
        <v>216</v>
      </c>
      <c r="H90" t="s">
        <v>217</v>
      </c>
      <c r="I90">
        <v>0.42</v>
      </c>
      <c r="J90">
        <v>0</v>
      </c>
      <c r="O90">
        <f t="shared" si="71"/>
        <v>16076.44</v>
      </c>
      <c r="P90">
        <f t="shared" si="72"/>
        <v>9173.27</v>
      </c>
      <c r="Q90">
        <f t="shared" si="73"/>
        <v>37.12</v>
      </c>
      <c r="R90">
        <f t="shared" si="74"/>
        <v>7.92</v>
      </c>
      <c r="S90">
        <f t="shared" si="75"/>
        <v>6866.05</v>
      </c>
      <c r="T90">
        <f t="shared" si="76"/>
        <v>0</v>
      </c>
      <c r="U90">
        <f t="shared" si="77"/>
        <v>37.19099999999999</v>
      </c>
      <c r="V90">
        <f t="shared" si="78"/>
        <v>0.0328125</v>
      </c>
      <c r="W90">
        <f t="shared" si="79"/>
        <v>0</v>
      </c>
      <c r="X90">
        <f t="shared" si="80"/>
        <v>7905.07</v>
      </c>
      <c r="Y90">
        <f t="shared" si="81"/>
        <v>4880.52</v>
      </c>
      <c r="AA90">
        <v>51669678</v>
      </c>
      <c r="AB90">
        <f t="shared" si="82"/>
        <v>8082.07</v>
      </c>
      <c r="AC90">
        <f t="shared" si="83"/>
        <v>6405.02</v>
      </c>
      <c r="AD90">
        <f>ROUND((((((ET90*1.25)*1.25))-(((EU90*1.25)*1.25)))+AE90),2)</f>
        <v>12.31</v>
      </c>
      <c r="AE90">
        <f>ROUND((((EU90*1.25)*1.25)),2)</f>
        <v>1.92</v>
      </c>
      <c r="AF90">
        <f>ROUND((((EV90*1.15)*1.25)),2)</f>
        <v>1664.74</v>
      </c>
      <c r="AG90">
        <f t="shared" si="84"/>
        <v>0</v>
      </c>
      <c r="AH90">
        <f>(((EW90*1.15)*1.25))</f>
        <v>88.54999999999998</v>
      </c>
      <c r="AI90">
        <f>(((EX90*1.25)*1.25))</f>
        <v>0.078125</v>
      </c>
      <c r="AJ90">
        <f t="shared" si="85"/>
        <v>0</v>
      </c>
      <c r="AK90">
        <v>7570.98</v>
      </c>
      <c r="AL90">
        <v>6405.02</v>
      </c>
      <c r="AM90">
        <v>7.88</v>
      </c>
      <c r="AN90">
        <v>1.23</v>
      </c>
      <c r="AO90">
        <v>1158.08</v>
      </c>
      <c r="AP90">
        <v>0</v>
      </c>
      <c r="AQ90">
        <v>61.6</v>
      </c>
      <c r="AR90">
        <v>0.05</v>
      </c>
      <c r="AS90">
        <v>0</v>
      </c>
      <c r="AT90">
        <v>115</v>
      </c>
      <c r="AU90">
        <v>71</v>
      </c>
      <c r="AV90">
        <v>1</v>
      </c>
      <c r="AW90">
        <v>1</v>
      </c>
      <c r="AZ90">
        <v>1</v>
      </c>
      <c r="BA90">
        <v>9.82</v>
      </c>
      <c r="BB90">
        <v>7.18</v>
      </c>
      <c r="BC90">
        <v>3.41</v>
      </c>
      <c r="BH90">
        <v>0</v>
      </c>
      <c r="BI90">
        <v>1</v>
      </c>
      <c r="BJ90" t="s">
        <v>218</v>
      </c>
      <c r="BM90">
        <v>16001</v>
      </c>
      <c r="BN90">
        <v>0</v>
      </c>
      <c r="BO90" t="s">
        <v>215</v>
      </c>
      <c r="BP90">
        <v>1</v>
      </c>
      <c r="BQ90">
        <v>2</v>
      </c>
      <c r="BR90">
        <v>0</v>
      </c>
      <c r="BS90">
        <v>9.82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128</v>
      </c>
      <c r="CA90">
        <v>83</v>
      </c>
      <c r="CE90">
        <v>0</v>
      </c>
      <c r="CF90">
        <v>0</v>
      </c>
      <c r="CG90">
        <v>0</v>
      </c>
      <c r="CM90">
        <v>0</v>
      </c>
      <c r="CN90" t="s">
        <v>722</v>
      </c>
      <c r="CO90">
        <v>0</v>
      </c>
      <c r="CP90">
        <f t="shared" si="86"/>
        <v>16076.440000000002</v>
      </c>
      <c r="CQ90">
        <f t="shared" si="87"/>
        <v>21841.1182</v>
      </c>
      <c r="CR90">
        <f t="shared" si="88"/>
        <v>88.3858</v>
      </c>
      <c r="CS90">
        <f t="shared" si="89"/>
        <v>18.8544</v>
      </c>
      <c r="CT90">
        <f t="shared" si="90"/>
        <v>16347.7468</v>
      </c>
      <c r="CU90">
        <f t="shared" si="91"/>
        <v>0</v>
      </c>
      <c r="CV90">
        <f t="shared" si="92"/>
        <v>88.54999999999998</v>
      </c>
      <c r="CW90">
        <f t="shared" si="93"/>
        <v>0.078125</v>
      </c>
      <c r="CX90">
        <f t="shared" si="94"/>
        <v>0</v>
      </c>
      <c r="CY90">
        <f t="shared" si="95"/>
        <v>7905.065500000001</v>
      </c>
      <c r="CZ90">
        <f t="shared" si="96"/>
        <v>4880.5187</v>
      </c>
      <c r="DE90" t="s">
        <v>139</v>
      </c>
      <c r="DF90" t="s">
        <v>139</v>
      </c>
      <c r="DG90" t="s">
        <v>140</v>
      </c>
      <c r="DI90" t="s">
        <v>140</v>
      </c>
      <c r="DJ90" t="s">
        <v>139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217</v>
      </c>
      <c r="DW90" t="s">
        <v>217</v>
      </c>
      <c r="DX90">
        <v>1</v>
      </c>
      <c r="EE90">
        <v>48034415</v>
      </c>
      <c r="EF90">
        <v>2</v>
      </c>
      <c r="EG90" t="s">
        <v>20</v>
      </c>
      <c r="EH90">
        <v>0</v>
      </c>
      <c r="EJ90">
        <v>1</v>
      </c>
      <c r="EK90">
        <v>16001</v>
      </c>
      <c r="EL90" t="s">
        <v>219</v>
      </c>
      <c r="EM90" t="s">
        <v>220</v>
      </c>
      <c r="EO90" t="s">
        <v>198</v>
      </c>
      <c r="EQ90">
        <v>512</v>
      </c>
      <c r="ER90">
        <v>7570.98</v>
      </c>
      <c r="ES90">
        <v>6405.02</v>
      </c>
      <c r="ET90">
        <v>7.88</v>
      </c>
      <c r="EU90">
        <v>1.23</v>
      </c>
      <c r="EV90">
        <v>1158.08</v>
      </c>
      <c r="EW90">
        <v>61.6</v>
      </c>
      <c r="EX90">
        <v>0.05</v>
      </c>
      <c r="EY90">
        <v>0</v>
      </c>
      <c r="FQ90">
        <v>0</v>
      </c>
      <c r="FR90">
        <f t="shared" si="97"/>
        <v>0</v>
      </c>
      <c r="FS90">
        <v>0</v>
      </c>
      <c r="FT90" t="s">
        <v>24</v>
      </c>
      <c r="FU90" t="s">
        <v>25</v>
      </c>
      <c r="FX90">
        <v>115.2</v>
      </c>
      <c r="FY90">
        <v>70.55</v>
      </c>
      <c r="GD90">
        <v>1</v>
      </c>
      <c r="GF90">
        <v>-452335313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si="98"/>
        <v>0</v>
      </c>
      <c r="GM90">
        <f t="shared" si="99"/>
        <v>28862.03</v>
      </c>
      <c r="GN90">
        <f t="shared" si="100"/>
        <v>28862.03</v>
      </c>
      <c r="GO90">
        <f t="shared" si="101"/>
        <v>0</v>
      </c>
      <c r="GP90">
        <f t="shared" si="102"/>
        <v>0</v>
      </c>
      <c r="GR90">
        <v>0</v>
      </c>
      <c r="GS90">
        <v>3</v>
      </c>
      <c r="GT90">
        <v>0</v>
      </c>
      <c r="GV90">
        <f t="shared" si="103"/>
        <v>0</v>
      </c>
      <c r="GW90">
        <v>1</v>
      </c>
      <c r="GX90">
        <f t="shared" si="104"/>
        <v>0</v>
      </c>
      <c r="HA90">
        <v>0</v>
      </c>
      <c r="HB90">
        <v>0</v>
      </c>
      <c r="HC90">
        <f t="shared" si="105"/>
        <v>0</v>
      </c>
      <c r="IK90">
        <v>0</v>
      </c>
    </row>
    <row r="91" spans="1:245" ht="12.75">
      <c r="A91">
        <v>18</v>
      </c>
      <c r="B91">
        <v>1</v>
      </c>
      <c r="C91">
        <v>106</v>
      </c>
      <c r="E91" t="s">
        <v>221</v>
      </c>
      <c r="F91" t="s">
        <v>222</v>
      </c>
      <c r="G91" t="s">
        <v>223</v>
      </c>
      <c r="H91" t="s">
        <v>224</v>
      </c>
      <c r="I91">
        <f>I90*J91</f>
        <v>0.42</v>
      </c>
      <c r="J91">
        <v>1</v>
      </c>
      <c r="O91">
        <f t="shared" si="71"/>
        <v>890.57</v>
      </c>
      <c r="P91">
        <f t="shared" si="72"/>
        <v>890.57</v>
      </c>
      <c r="Q91">
        <f t="shared" si="73"/>
        <v>0</v>
      </c>
      <c r="R91">
        <f t="shared" si="74"/>
        <v>0</v>
      </c>
      <c r="S91">
        <f t="shared" si="75"/>
        <v>0</v>
      </c>
      <c r="T91">
        <f t="shared" si="76"/>
        <v>0</v>
      </c>
      <c r="U91">
        <f t="shared" si="77"/>
        <v>0</v>
      </c>
      <c r="V91">
        <f t="shared" si="78"/>
        <v>0</v>
      </c>
      <c r="W91">
        <f t="shared" si="79"/>
        <v>0</v>
      </c>
      <c r="X91">
        <f t="shared" si="80"/>
        <v>0</v>
      </c>
      <c r="Y91">
        <f t="shared" si="81"/>
        <v>0</v>
      </c>
      <c r="AA91">
        <v>51669678</v>
      </c>
      <c r="AB91">
        <f t="shared" si="82"/>
        <v>120</v>
      </c>
      <c r="AC91">
        <f t="shared" si="83"/>
        <v>120</v>
      </c>
      <c r="AD91">
        <f>ROUND((((ET91)-(EU91))+AE91),2)</f>
        <v>0</v>
      </c>
      <c r="AE91">
        <f>ROUND((EU91),2)</f>
        <v>0</v>
      </c>
      <c r="AF91">
        <f>ROUND((EV91),2)</f>
        <v>0</v>
      </c>
      <c r="AG91">
        <f t="shared" si="84"/>
        <v>0</v>
      </c>
      <c r="AH91">
        <f>(EW91)</f>
        <v>0</v>
      </c>
      <c r="AI91">
        <f>(EX91)</f>
        <v>0</v>
      </c>
      <c r="AJ91">
        <f t="shared" si="85"/>
        <v>0</v>
      </c>
      <c r="AK91">
        <v>120</v>
      </c>
      <c r="AL91">
        <v>120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17.67</v>
      </c>
      <c r="BH91">
        <v>3</v>
      </c>
      <c r="BI91">
        <v>2</v>
      </c>
      <c r="BJ91" t="s">
        <v>225</v>
      </c>
      <c r="BM91">
        <v>500002</v>
      </c>
      <c r="BN91">
        <v>0</v>
      </c>
      <c r="BO91" t="s">
        <v>222</v>
      </c>
      <c r="BP91">
        <v>1</v>
      </c>
      <c r="BQ91">
        <v>12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O91">
        <v>0</v>
      </c>
      <c r="CP91">
        <f t="shared" si="86"/>
        <v>890.57</v>
      </c>
      <c r="CQ91">
        <f t="shared" si="87"/>
        <v>2120.4</v>
      </c>
      <c r="CR91">
        <f t="shared" si="88"/>
        <v>0</v>
      </c>
      <c r="CS91">
        <f t="shared" si="89"/>
        <v>0</v>
      </c>
      <c r="CT91">
        <f t="shared" si="90"/>
        <v>0</v>
      </c>
      <c r="CU91">
        <f t="shared" si="91"/>
        <v>0</v>
      </c>
      <c r="CV91">
        <f t="shared" si="92"/>
        <v>0</v>
      </c>
      <c r="CW91">
        <f t="shared" si="93"/>
        <v>0</v>
      </c>
      <c r="CX91">
        <f t="shared" si="94"/>
        <v>0</v>
      </c>
      <c r="CY91">
        <f t="shared" si="95"/>
        <v>0</v>
      </c>
      <c r="CZ91">
        <f t="shared" si="96"/>
        <v>0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224</v>
      </c>
      <c r="DW91" t="s">
        <v>224</v>
      </c>
      <c r="DX91">
        <v>100</v>
      </c>
      <c r="EE91">
        <v>48034322</v>
      </c>
      <c r="EF91">
        <v>12</v>
      </c>
      <c r="EG91" t="s">
        <v>39</v>
      </c>
      <c r="EH91">
        <v>0</v>
      </c>
      <c r="EJ91">
        <v>2</v>
      </c>
      <c r="EK91">
        <v>500002</v>
      </c>
      <c r="EL91" t="s">
        <v>40</v>
      </c>
      <c r="EM91" t="s">
        <v>41</v>
      </c>
      <c r="EQ91">
        <v>0</v>
      </c>
      <c r="ER91">
        <v>120</v>
      </c>
      <c r="ES91">
        <v>120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97"/>
        <v>0</v>
      </c>
      <c r="FS91">
        <v>0</v>
      </c>
      <c r="FX91">
        <v>0</v>
      </c>
      <c r="FY91">
        <v>0</v>
      </c>
      <c r="GD91">
        <v>1</v>
      </c>
      <c r="GF91">
        <v>-518661194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98"/>
        <v>0</v>
      </c>
      <c r="GM91">
        <f t="shared" si="99"/>
        <v>890.57</v>
      </c>
      <c r="GN91">
        <f t="shared" si="100"/>
        <v>0</v>
      </c>
      <c r="GO91">
        <f t="shared" si="101"/>
        <v>890.57</v>
      </c>
      <c r="GP91">
        <f t="shared" si="102"/>
        <v>0</v>
      </c>
      <c r="GR91">
        <v>0</v>
      </c>
      <c r="GS91">
        <v>3</v>
      </c>
      <c r="GT91">
        <v>0</v>
      </c>
      <c r="GV91">
        <f t="shared" si="103"/>
        <v>0</v>
      </c>
      <c r="GW91">
        <v>1</v>
      </c>
      <c r="GX91">
        <f t="shared" si="104"/>
        <v>0</v>
      </c>
      <c r="HA91">
        <v>0</v>
      </c>
      <c r="HB91">
        <v>0</v>
      </c>
      <c r="HC91">
        <f t="shared" si="105"/>
        <v>0</v>
      </c>
      <c r="IK91">
        <v>0</v>
      </c>
    </row>
    <row r="92" spans="1:245" ht="12.75">
      <c r="A92">
        <v>18</v>
      </c>
      <c r="B92">
        <v>1</v>
      </c>
      <c r="C92">
        <v>107</v>
      </c>
      <c r="E92" t="s">
        <v>226</v>
      </c>
      <c r="F92" t="s">
        <v>200</v>
      </c>
      <c r="G92" t="s">
        <v>227</v>
      </c>
      <c r="H92" t="s">
        <v>202</v>
      </c>
      <c r="I92">
        <f>I90*J92</f>
        <v>12</v>
      </c>
      <c r="J92">
        <v>28.571428571428573</v>
      </c>
      <c r="O92">
        <f t="shared" si="71"/>
        <v>21999.96</v>
      </c>
      <c r="P92">
        <f t="shared" si="72"/>
        <v>21999.96</v>
      </c>
      <c r="Q92">
        <f t="shared" si="73"/>
        <v>0</v>
      </c>
      <c r="R92">
        <f t="shared" si="74"/>
        <v>0</v>
      </c>
      <c r="S92">
        <f t="shared" si="75"/>
        <v>0</v>
      </c>
      <c r="T92">
        <f t="shared" si="76"/>
        <v>0</v>
      </c>
      <c r="U92">
        <f t="shared" si="77"/>
        <v>0</v>
      </c>
      <c r="V92">
        <f t="shared" si="78"/>
        <v>0</v>
      </c>
      <c r="W92">
        <f t="shared" si="79"/>
        <v>0</v>
      </c>
      <c r="X92">
        <f t="shared" si="80"/>
        <v>0</v>
      </c>
      <c r="Y92">
        <f t="shared" si="81"/>
        <v>0</v>
      </c>
      <c r="AA92">
        <v>51669678</v>
      </c>
      <c r="AB92">
        <f t="shared" si="82"/>
        <v>1833.33</v>
      </c>
      <c r="AC92">
        <f t="shared" si="83"/>
        <v>1833.33</v>
      </c>
      <c r="AD92">
        <f>ROUND((((ET92)-(EU92))+AE92),2)</f>
        <v>0</v>
      </c>
      <c r="AE92">
        <f>ROUND((EU92),2)</f>
        <v>0</v>
      </c>
      <c r="AF92">
        <f>ROUND((EV92),2)</f>
        <v>0</v>
      </c>
      <c r="AG92">
        <f t="shared" si="84"/>
        <v>0</v>
      </c>
      <c r="AH92">
        <f>(EW92)</f>
        <v>0</v>
      </c>
      <c r="AI92">
        <f>(EX92)</f>
        <v>0</v>
      </c>
      <c r="AJ92">
        <f t="shared" si="85"/>
        <v>0</v>
      </c>
      <c r="AK92">
        <v>1833.33</v>
      </c>
      <c r="AL92">
        <v>1833.33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1</v>
      </c>
      <c r="BH92">
        <v>3</v>
      </c>
      <c r="BI92">
        <v>4</v>
      </c>
      <c r="BM92">
        <v>0</v>
      </c>
      <c r="BN92">
        <v>0</v>
      </c>
      <c r="BP92">
        <v>0</v>
      </c>
      <c r="BQ92">
        <v>16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0</v>
      </c>
      <c r="CA92">
        <v>0</v>
      </c>
      <c r="CE92">
        <v>0</v>
      </c>
      <c r="CF92">
        <v>0</v>
      </c>
      <c r="CG92">
        <v>0</v>
      </c>
      <c r="CM92">
        <v>0</v>
      </c>
      <c r="CO92">
        <v>0</v>
      </c>
      <c r="CP92">
        <f t="shared" si="86"/>
        <v>21999.96</v>
      </c>
      <c r="CQ92">
        <f t="shared" si="87"/>
        <v>1833.33</v>
      </c>
      <c r="CR92">
        <f t="shared" si="88"/>
        <v>0</v>
      </c>
      <c r="CS92">
        <f t="shared" si="89"/>
        <v>0</v>
      </c>
      <c r="CT92">
        <f t="shared" si="90"/>
        <v>0</v>
      </c>
      <c r="CU92">
        <f t="shared" si="91"/>
        <v>0</v>
      </c>
      <c r="CV92">
        <f t="shared" si="92"/>
        <v>0</v>
      </c>
      <c r="CW92">
        <f t="shared" si="93"/>
        <v>0</v>
      </c>
      <c r="CX92">
        <f t="shared" si="94"/>
        <v>0</v>
      </c>
      <c r="CY92">
        <f t="shared" si="95"/>
        <v>0</v>
      </c>
      <c r="CZ92">
        <f t="shared" si="96"/>
        <v>0</v>
      </c>
      <c r="DN92">
        <v>0</v>
      </c>
      <c r="DO92">
        <v>0</v>
      </c>
      <c r="DP92">
        <v>1</v>
      </c>
      <c r="DQ92">
        <v>1</v>
      </c>
      <c r="DU92">
        <v>1010</v>
      </c>
      <c r="DV92" t="s">
        <v>202</v>
      </c>
      <c r="DW92" t="s">
        <v>228</v>
      </c>
      <c r="DX92">
        <v>1</v>
      </c>
      <c r="EE92">
        <v>48034329</v>
      </c>
      <c r="EF92">
        <v>16</v>
      </c>
      <c r="EG92" t="s">
        <v>203</v>
      </c>
      <c r="EH92">
        <v>0</v>
      </c>
      <c r="EJ92">
        <v>4</v>
      </c>
      <c r="EK92">
        <v>0</v>
      </c>
      <c r="EL92" t="s">
        <v>204</v>
      </c>
      <c r="EM92" t="s">
        <v>205</v>
      </c>
      <c r="EQ92">
        <v>0</v>
      </c>
      <c r="ER92">
        <v>1833.33</v>
      </c>
      <c r="ES92">
        <v>1833.33</v>
      </c>
      <c r="ET92">
        <v>0</v>
      </c>
      <c r="EU92">
        <v>0</v>
      </c>
      <c r="EV92">
        <v>0</v>
      </c>
      <c r="EW92">
        <v>0</v>
      </c>
      <c r="EX92">
        <v>0</v>
      </c>
      <c r="EZ92">
        <v>5</v>
      </c>
      <c r="FC92">
        <v>1</v>
      </c>
      <c r="FD92">
        <v>18</v>
      </c>
      <c r="FF92">
        <v>2200</v>
      </c>
      <c r="FQ92">
        <v>0</v>
      </c>
      <c r="FR92">
        <f t="shared" si="97"/>
        <v>0</v>
      </c>
      <c r="FS92">
        <v>0</v>
      </c>
      <c r="FX92">
        <v>0</v>
      </c>
      <c r="FY92">
        <v>0</v>
      </c>
      <c r="GA92" t="s">
        <v>229</v>
      </c>
      <c r="GD92">
        <v>1</v>
      </c>
      <c r="GF92">
        <v>-127812041</v>
      </c>
      <c r="GG92">
        <v>2</v>
      </c>
      <c r="GH92">
        <v>3</v>
      </c>
      <c r="GI92">
        <v>-2</v>
      </c>
      <c r="GJ92">
        <v>0</v>
      </c>
      <c r="GK92">
        <v>0</v>
      </c>
      <c r="GL92">
        <f t="shared" si="98"/>
        <v>0</v>
      </c>
      <c r="GM92">
        <f t="shared" si="99"/>
        <v>21999.96</v>
      </c>
      <c r="GN92">
        <f t="shared" si="100"/>
        <v>0</v>
      </c>
      <c r="GO92">
        <f t="shared" si="101"/>
        <v>0</v>
      </c>
      <c r="GP92">
        <f t="shared" si="102"/>
        <v>21999.96</v>
      </c>
      <c r="GR92">
        <v>1</v>
      </c>
      <c r="GS92">
        <v>1</v>
      </c>
      <c r="GT92">
        <v>0</v>
      </c>
      <c r="GV92">
        <f t="shared" si="103"/>
        <v>0</v>
      </c>
      <c r="GW92">
        <v>1</v>
      </c>
      <c r="GX92">
        <f t="shared" si="104"/>
        <v>0</v>
      </c>
      <c r="HA92">
        <v>0</v>
      </c>
      <c r="HB92">
        <v>0</v>
      </c>
      <c r="HC92">
        <f t="shared" si="105"/>
        <v>0</v>
      </c>
      <c r="IK92">
        <v>0</v>
      </c>
    </row>
    <row r="93" spans="1:245" ht="12.75">
      <c r="A93">
        <v>17</v>
      </c>
      <c r="B93">
        <v>1</v>
      </c>
      <c r="C93">
        <f>ROW(SmtRes!A114)</f>
        <v>114</v>
      </c>
      <c r="D93">
        <f>ROW(EtalonRes!A109)</f>
        <v>109</v>
      </c>
      <c r="E93" t="s">
        <v>230</v>
      </c>
      <c r="F93" t="s">
        <v>231</v>
      </c>
      <c r="G93" t="s">
        <v>232</v>
      </c>
      <c r="H93" t="s">
        <v>233</v>
      </c>
      <c r="I93">
        <v>0.18</v>
      </c>
      <c r="J93">
        <v>0</v>
      </c>
      <c r="O93">
        <f t="shared" si="71"/>
        <v>11447.76</v>
      </c>
      <c r="P93">
        <f t="shared" si="72"/>
        <v>5393.95</v>
      </c>
      <c r="Q93">
        <f t="shared" si="73"/>
        <v>178.4</v>
      </c>
      <c r="R93">
        <f t="shared" si="74"/>
        <v>0</v>
      </c>
      <c r="S93">
        <f t="shared" si="75"/>
        <v>5875.41</v>
      </c>
      <c r="T93">
        <f t="shared" si="76"/>
        <v>0</v>
      </c>
      <c r="U93">
        <f t="shared" si="77"/>
        <v>37.00125</v>
      </c>
      <c r="V93">
        <f t="shared" si="78"/>
        <v>0</v>
      </c>
      <c r="W93">
        <f t="shared" si="79"/>
        <v>0</v>
      </c>
      <c r="X93">
        <f t="shared" si="80"/>
        <v>6227.93</v>
      </c>
      <c r="Y93">
        <f t="shared" si="81"/>
        <v>3172.72</v>
      </c>
      <c r="AA93">
        <v>51669678</v>
      </c>
      <c r="AB93">
        <f t="shared" si="82"/>
        <v>9560.9</v>
      </c>
      <c r="AC93">
        <f t="shared" si="83"/>
        <v>6066.07</v>
      </c>
      <c r="AD93">
        <f>ROUND((((((ET93*1.25)*1.25))-(((EU93*1.25)*1.25)))+AE93),2)</f>
        <v>170.88</v>
      </c>
      <c r="AE93">
        <f>ROUND((((EU93*1.25)*1.25)),2)</f>
        <v>0</v>
      </c>
      <c r="AF93">
        <f>ROUND((((EV93*1.15)*1.25)),2)</f>
        <v>3323.95</v>
      </c>
      <c r="AG93">
        <f t="shared" si="84"/>
        <v>0</v>
      </c>
      <c r="AH93">
        <f>(((EW93*1.15)*1.25))</f>
        <v>205.5625</v>
      </c>
      <c r="AI93">
        <f>(((EX93*1.25)*1.25))</f>
        <v>0</v>
      </c>
      <c r="AJ93">
        <f t="shared" si="85"/>
        <v>0</v>
      </c>
      <c r="AK93">
        <v>8487.74</v>
      </c>
      <c r="AL93">
        <v>6066.07</v>
      </c>
      <c r="AM93">
        <v>109.36</v>
      </c>
      <c r="AN93">
        <v>0</v>
      </c>
      <c r="AO93">
        <v>2312.31</v>
      </c>
      <c r="AP93">
        <v>0</v>
      </c>
      <c r="AQ93">
        <v>143</v>
      </c>
      <c r="AR93">
        <v>0</v>
      </c>
      <c r="AS93">
        <v>0</v>
      </c>
      <c r="AT93">
        <v>106</v>
      </c>
      <c r="AU93">
        <v>54</v>
      </c>
      <c r="AV93">
        <v>1</v>
      </c>
      <c r="AW93">
        <v>1</v>
      </c>
      <c r="AZ93">
        <v>1</v>
      </c>
      <c r="BA93">
        <v>9.82</v>
      </c>
      <c r="BB93">
        <v>5.8</v>
      </c>
      <c r="BC93">
        <v>4.94</v>
      </c>
      <c r="BH93">
        <v>0</v>
      </c>
      <c r="BI93">
        <v>1</v>
      </c>
      <c r="BJ93" t="s">
        <v>234</v>
      </c>
      <c r="BM93">
        <v>10001</v>
      </c>
      <c r="BN93">
        <v>0</v>
      </c>
      <c r="BO93" t="s">
        <v>231</v>
      </c>
      <c r="BP93">
        <v>1</v>
      </c>
      <c r="BQ93">
        <v>2</v>
      </c>
      <c r="BR93">
        <v>0</v>
      </c>
      <c r="BS93">
        <v>9.82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118</v>
      </c>
      <c r="CA93">
        <v>63</v>
      </c>
      <c r="CE93">
        <v>0</v>
      </c>
      <c r="CF93">
        <v>0</v>
      </c>
      <c r="CG93">
        <v>0</v>
      </c>
      <c r="CM93">
        <v>0</v>
      </c>
      <c r="CN93" t="s">
        <v>722</v>
      </c>
      <c r="CO93">
        <v>0</v>
      </c>
      <c r="CP93">
        <f t="shared" si="86"/>
        <v>11447.759999999998</v>
      </c>
      <c r="CQ93">
        <f t="shared" si="87"/>
        <v>29966.3858</v>
      </c>
      <c r="CR93">
        <f t="shared" si="88"/>
        <v>991.1039999999999</v>
      </c>
      <c r="CS93">
        <f t="shared" si="89"/>
        <v>0</v>
      </c>
      <c r="CT93">
        <f t="shared" si="90"/>
        <v>32641.189</v>
      </c>
      <c r="CU93">
        <f t="shared" si="91"/>
        <v>0</v>
      </c>
      <c r="CV93">
        <f t="shared" si="92"/>
        <v>205.5625</v>
      </c>
      <c r="CW93">
        <f t="shared" si="93"/>
        <v>0</v>
      </c>
      <c r="CX93">
        <f t="shared" si="94"/>
        <v>0</v>
      </c>
      <c r="CY93">
        <f t="shared" si="95"/>
        <v>6227.9346</v>
      </c>
      <c r="CZ93">
        <f t="shared" si="96"/>
        <v>3172.7214000000004</v>
      </c>
      <c r="DE93" t="s">
        <v>139</v>
      </c>
      <c r="DF93" t="s">
        <v>139</v>
      </c>
      <c r="DG93" t="s">
        <v>140</v>
      </c>
      <c r="DI93" t="s">
        <v>140</v>
      </c>
      <c r="DJ93" t="s">
        <v>139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233</v>
      </c>
      <c r="DW93" t="s">
        <v>233</v>
      </c>
      <c r="DX93">
        <v>1</v>
      </c>
      <c r="EE93">
        <v>48034388</v>
      </c>
      <c r="EF93">
        <v>2</v>
      </c>
      <c r="EG93" t="s">
        <v>20</v>
      </c>
      <c r="EH93">
        <v>0</v>
      </c>
      <c r="EJ93">
        <v>1</v>
      </c>
      <c r="EK93">
        <v>10001</v>
      </c>
      <c r="EL93" t="s">
        <v>53</v>
      </c>
      <c r="EM93" t="s">
        <v>54</v>
      </c>
      <c r="EO93" t="s">
        <v>198</v>
      </c>
      <c r="EQ93">
        <v>512</v>
      </c>
      <c r="ER93">
        <v>8487.74</v>
      </c>
      <c r="ES93">
        <v>6066.07</v>
      </c>
      <c r="ET93">
        <v>109.36</v>
      </c>
      <c r="EU93">
        <v>0</v>
      </c>
      <c r="EV93">
        <v>2312.31</v>
      </c>
      <c r="EW93">
        <v>143</v>
      </c>
      <c r="EX93">
        <v>0</v>
      </c>
      <c r="EY93">
        <v>0</v>
      </c>
      <c r="FQ93">
        <v>0</v>
      </c>
      <c r="FR93">
        <f t="shared" si="97"/>
        <v>0</v>
      </c>
      <c r="FS93">
        <v>0</v>
      </c>
      <c r="FT93" t="s">
        <v>24</v>
      </c>
      <c r="FU93" t="s">
        <v>25</v>
      </c>
      <c r="FX93">
        <v>106.2</v>
      </c>
      <c r="FY93">
        <v>53.55</v>
      </c>
      <c r="GD93">
        <v>1</v>
      </c>
      <c r="GF93">
        <v>327344764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98"/>
        <v>0</v>
      </c>
      <c r="GM93">
        <f t="shared" si="99"/>
        <v>20848.41</v>
      </c>
      <c r="GN93">
        <f t="shared" si="100"/>
        <v>20848.41</v>
      </c>
      <c r="GO93">
        <f t="shared" si="101"/>
        <v>0</v>
      </c>
      <c r="GP93">
        <f t="shared" si="102"/>
        <v>0</v>
      </c>
      <c r="GR93">
        <v>0</v>
      </c>
      <c r="GS93">
        <v>3</v>
      </c>
      <c r="GT93">
        <v>0</v>
      </c>
      <c r="GV93">
        <f t="shared" si="103"/>
        <v>0</v>
      </c>
      <c r="GW93">
        <v>1</v>
      </c>
      <c r="GX93">
        <f t="shared" si="104"/>
        <v>0</v>
      </c>
      <c r="HA93">
        <v>0</v>
      </c>
      <c r="HB93">
        <v>0</v>
      </c>
      <c r="HC93">
        <f t="shared" si="105"/>
        <v>0</v>
      </c>
      <c r="IK93">
        <v>0</v>
      </c>
    </row>
    <row r="94" spans="1:245" ht="12.75">
      <c r="A94">
        <v>17</v>
      </c>
      <c r="B94">
        <v>1</v>
      </c>
      <c r="C94">
        <f>ROW(SmtRes!A125)</f>
        <v>125</v>
      </c>
      <c r="D94">
        <f>ROW(EtalonRes!A118)</f>
        <v>118</v>
      </c>
      <c r="E94" t="s">
        <v>235</v>
      </c>
      <c r="F94" t="s">
        <v>236</v>
      </c>
      <c r="G94" t="s">
        <v>237</v>
      </c>
      <c r="H94" t="s">
        <v>238</v>
      </c>
      <c r="I94">
        <v>0.7</v>
      </c>
      <c r="J94">
        <v>0</v>
      </c>
      <c r="O94">
        <f t="shared" si="71"/>
        <v>19150.29</v>
      </c>
      <c r="P94">
        <f t="shared" si="72"/>
        <v>17541.44</v>
      </c>
      <c r="Q94">
        <f t="shared" si="73"/>
        <v>502.2</v>
      </c>
      <c r="R94">
        <f t="shared" si="74"/>
        <v>76.37</v>
      </c>
      <c r="S94">
        <f t="shared" si="75"/>
        <v>1106.65</v>
      </c>
      <c r="T94">
        <f t="shared" si="76"/>
        <v>0</v>
      </c>
      <c r="U94">
        <f t="shared" si="77"/>
        <v>6.711687499999999</v>
      </c>
      <c r="V94">
        <f t="shared" si="78"/>
        <v>0.31718749999999996</v>
      </c>
      <c r="W94">
        <f t="shared" si="79"/>
        <v>0</v>
      </c>
      <c r="X94">
        <f t="shared" si="80"/>
        <v>1277.66</v>
      </c>
      <c r="Y94">
        <f t="shared" si="81"/>
        <v>650.66</v>
      </c>
      <c r="AA94">
        <v>51669678</v>
      </c>
      <c r="AB94">
        <f t="shared" si="82"/>
        <v>4219.99</v>
      </c>
      <c r="AC94">
        <f t="shared" si="83"/>
        <v>3958.8</v>
      </c>
      <c r="AD94">
        <f>ROUND((((((ET94*1.25)*1.25))-(((EU94*1.25)*1.25)))+AE94),2)</f>
        <v>100.2</v>
      </c>
      <c r="AE94">
        <f>ROUND((((EU94*1.25)*1.25)),2)</f>
        <v>11.11</v>
      </c>
      <c r="AF94">
        <f>ROUND((((EV94*1.15)*1.25)),2)</f>
        <v>160.99</v>
      </c>
      <c r="AG94">
        <f t="shared" si="84"/>
        <v>0</v>
      </c>
      <c r="AH94">
        <f>(((EW94*1.15)*1.25))</f>
        <v>9.588125</v>
      </c>
      <c r="AI94">
        <f>(((EX94*1.25)*1.25))</f>
        <v>0.453125</v>
      </c>
      <c r="AJ94">
        <f t="shared" si="85"/>
        <v>0</v>
      </c>
      <c r="AK94">
        <v>4134.92</v>
      </c>
      <c r="AL94">
        <v>3958.8</v>
      </c>
      <c r="AM94">
        <v>64.13</v>
      </c>
      <c r="AN94">
        <v>7.11</v>
      </c>
      <c r="AO94">
        <v>111.99</v>
      </c>
      <c r="AP94">
        <v>0</v>
      </c>
      <c r="AQ94">
        <v>6.67</v>
      </c>
      <c r="AR94">
        <v>0.29</v>
      </c>
      <c r="AS94">
        <v>0</v>
      </c>
      <c r="AT94">
        <v>108</v>
      </c>
      <c r="AU94">
        <v>55</v>
      </c>
      <c r="AV94">
        <v>1</v>
      </c>
      <c r="AW94">
        <v>1</v>
      </c>
      <c r="AZ94">
        <v>1</v>
      </c>
      <c r="BA94">
        <v>9.82</v>
      </c>
      <c r="BB94">
        <v>7.16</v>
      </c>
      <c r="BC94">
        <v>6.33</v>
      </c>
      <c r="BH94">
        <v>0</v>
      </c>
      <c r="BI94">
        <v>1</v>
      </c>
      <c r="BJ94" t="s">
        <v>239</v>
      </c>
      <c r="BM94">
        <v>12001</v>
      </c>
      <c r="BN94">
        <v>0</v>
      </c>
      <c r="BO94" t="s">
        <v>236</v>
      </c>
      <c r="BP94">
        <v>1</v>
      </c>
      <c r="BQ94">
        <v>2</v>
      </c>
      <c r="BR94">
        <v>0</v>
      </c>
      <c r="BS94">
        <v>9.82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120</v>
      </c>
      <c r="CA94">
        <v>65</v>
      </c>
      <c r="CE94">
        <v>0</v>
      </c>
      <c r="CF94">
        <v>0</v>
      </c>
      <c r="CG94">
        <v>0</v>
      </c>
      <c r="CM94">
        <v>0</v>
      </c>
      <c r="CN94" t="s">
        <v>721</v>
      </c>
      <c r="CO94">
        <v>0</v>
      </c>
      <c r="CP94">
        <f t="shared" si="86"/>
        <v>19150.29</v>
      </c>
      <c r="CQ94">
        <f t="shared" si="87"/>
        <v>25059.204</v>
      </c>
      <c r="CR94">
        <f t="shared" si="88"/>
        <v>717.432</v>
      </c>
      <c r="CS94">
        <f t="shared" si="89"/>
        <v>109.1002</v>
      </c>
      <c r="CT94">
        <f t="shared" si="90"/>
        <v>1580.9218</v>
      </c>
      <c r="CU94">
        <f t="shared" si="91"/>
        <v>0</v>
      </c>
      <c r="CV94">
        <f t="shared" si="92"/>
        <v>9.588125</v>
      </c>
      <c r="CW94">
        <f t="shared" si="93"/>
        <v>0.453125</v>
      </c>
      <c r="CX94">
        <f t="shared" si="94"/>
        <v>0</v>
      </c>
      <c r="CY94">
        <f t="shared" si="95"/>
        <v>1277.6616000000001</v>
      </c>
      <c r="CZ94">
        <f t="shared" si="96"/>
        <v>650.661</v>
      </c>
      <c r="DE94" t="s">
        <v>139</v>
      </c>
      <c r="DF94" t="s">
        <v>139</v>
      </c>
      <c r="DG94" t="s">
        <v>140</v>
      </c>
      <c r="DI94" t="s">
        <v>140</v>
      </c>
      <c r="DJ94" t="s">
        <v>139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238</v>
      </c>
      <c r="DW94" t="s">
        <v>238</v>
      </c>
      <c r="DX94">
        <v>1</v>
      </c>
      <c r="EE94">
        <v>48034390</v>
      </c>
      <c r="EF94">
        <v>2</v>
      </c>
      <c r="EG94" t="s">
        <v>20</v>
      </c>
      <c r="EH94">
        <v>0</v>
      </c>
      <c r="EJ94">
        <v>1</v>
      </c>
      <c r="EK94">
        <v>12001</v>
      </c>
      <c r="EL94" t="s">
        <v>172</v>
      </c>
      <c r="EM94" t="s">
        <v>173</v>
      </c>
      <c r="EO94" t="s">
        <v>143</v>
      </c>
      <c r="EQ94">
        <v>512</v>
      </c>
      <c r="ER94">
        <v>4134.92</v>
      </c>
      <c r="ES94">
        <v>3958.8</v>
      </c>
      <c r="ET94">
        <v>64.13</v>
      </c>
      <c r="EU94">
        <v>7.11</v>
      </c>
      <c r="EV94">
        <v>111.99</v>
      </c>
      <c r="EW94">
        <v>6.67</v>
      </c>
      <c r="EX94">
        <v>0.29</v>
      </c>
      <c r="EY94">
        <v>0</v>
      </c>
      <c r="FQ94">
        <v>0</v>
      </c>
      <c r="FR94">
        <f t="shared" si="97"/>
        <v>0</v>
      </c>
      <c r="FS94">
        <v>0</v>
      </c>
      <c r="FT94" t="s">
        <v>24</v>
      </c>
      <c r="FU94" t="s">
        <v>25</v>
      </c>
      <c r="FX94">
        <v>108</v>
      </c>
      <c r="FY94">
        <v>55.25</v>
      </c>
      <c r="GD94">
        <v>1</v>
      </c>
      <c r="GF94">
        <v>1957961538</v>
      </c>
      <c r="GG94">
        <v>2</v>
      </c>
      <c r="GH94">
        <v>1</v>
      </c>
      <c r="GI94">
        <v>2</v>
      </c>
      <c r="GJ94">
        <v>0</v>
      </c>
      <c r="GK94">
        <v>0</v>
      </c>
      <c r="GL94">
        <f t="shared" si="98"/>
        <v>0</v>
      </c>
      <c r="GM94">
        <f t="shared" si="99"/>
        <v>21078.61</v>
      </c>
      <c r="GN94">
        <f t="shared" si="100"/>
        <v>21078.61</v>
      </c>
      <c r="GO94">
        <f t="shared" si="101"/>
        <v>0</v>
      </c>
      <c r="GP94">
        <f t="shared" si="102"/>
        <v>0</v>
      </c>
      <c r="GR94">
        <v>0</v>
      </c>
      <c r="GS94">
        <v>3</v>
      </c>
      <c r="GT94">
        <v>0</v>
      </c>
      <c r="GV94">
        <f t="shared" si="103"/>
        <v>0</v>
      </c>
      <c r="GW94">
        <v>1</v>
      </c>
      <c r="GX94">
        <f t="shared" si="104"/>
        <v>0</v>
      </c>
      <c r="HA94">
        <v>0</v>
      </c>
      <c r="HB94">
        <v>0</v>
      </c>
      <c r="HC94">
        <f t="shared" si="105"/>
        <v>0</v>
      </c>
      <c r="IK94">
        <v>0</v>
      </c>
    </row>
    <row r="95" spans="1:245" ht="12.75">
      <c r="A95">
        <v>18</v>
      </c>
      <c r="B95">
        <v>1</v>
      </c>
      <c r="C95">
        <v>125</v>
      </c>
      <c r="E95" t="s">
        <v>240</v>
      </c>
      <c r="F95" t="s">
        <v>200</v>
      </c>
      <c r="G95" t="s">
        <v>241</v>
      </c>
      <c r="H95" t="s">
        <v>212</v>
      </c>
      <c r="I95">
        <f>I94*J95</f>
        <v>70</v>
      </c>
      <c r="J95">
        <v>100</v>
      </c>
      <c r="O95">
        <f t="shared" si="71"/>
        <v>46666.9</v>
      </c>
      <c r="P95">
        <f t="shared" si="72"/>
        <v>46666.9</v>
      </c>
      <c r="Q95">
        <f t="shared" si="73"/>
        <v>0</v>
      </c>
      <c r="R95">
        <f t="shared" si="74"/>
        <v>0</v>
      </c>
      <c r="S95">
        <f t="shared" si="75"/>
        <v>0</v>
      </c>
      <c r="T95">
        <f t="shared" si="76"/>
        <v>0</v>
      </c>
      <c r="U95">
        <f t="shared" si="77"/>
        <v>0</v>
      </c>
      <c r="V95">
        <f t="shared" si="78"/>
        <v>0</v>
      </c>
      <c r="W95">
        <f t="shared" si="79"/>
        <v>0</v>
      </c>
      <c r="X95">
        <f t="shared" si="80"/>
        <v>0</v>
      </c>
      <c r="Y95">
        <f t="shared" si="81"/>
        <v>0</v>
      </c>
      <c r="AA95">
        <v>51669678</v>
      </c>
      <c r="AB95">
        <f t="shared" si="82"/>
        <v>666.67</v>
      </c>
      <c r="AC95">
        <f t="shared" si="83"/>
        <v>666.67</v>
      </c>
      <c r="AD95">
        <f>ROUND((((ET95)-(EU95))+AE95),2)</f>
        <v>0</v>
      </c>
      <c r="AE95">
        <f aca="true" t="shared" si="108" ref="AE95:AF97">ROUND((EU95),2)</f>
        <v>0</v>
      </c>
      <c r="AF95">
        <f t="shared" si="108"/>
        <v>0</v>
      </c>
      <c r="AG95">
        <f t="shared" si="84"/>
        <v>0</v>
      </c>
      <c r="AH95">
        <f aca="true" t="shared" si="109" ref="AH95:AI97">(EW95)</f>
        <v>0</v>
      </c>
      <c r="AI95">
        <f t="shared" si="109"/>
        <v>0</v>
      </c>
      <c r="AJ95">
        <f t="shared" si="85"/>
        <v>0</v>
      </c>
      <c r="AK95">
        <v>666.67</v>
      </c>
      <c r="AL95">
        <v>666.67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1</v>
      </c>
      <c r="BH95">
        <v>3</v>
      </c>
      <c r="BI95">
        <v>4</v>
      </c>
      <c r="BM95">
        <v>0</v>
      </c>
      <c r="BN95">
        <v>0</v>
      </c>
      <c r="BP95">
        <v>0</v>
      </c>
      <c r="BQ95">
        <v>16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O95">
        <v>0</v>
      </c>
      <c r="CP95">
        <f t="shared" si="86"/>
        <v>46666.9</v>
      </c>
      <c r="CQ95">
        <f t="shared" si="87"/>
        <v>666.67</v>
      </c>
      <c r="CR95">
        <f t="shared" si="88"/>
        <v>0</v>
      </c>
      <c r="CS95">
        <f t="shared" si="89"/>
        <v>0</v>
      </c>
      <c r="CT95">
        <f t="shared" si="90"/>
        <v>0</v>
      </c>
      <c r="CU95">
        <f t="shared" si="91"/>
        <v>0</v>
      </c>
      <c r="CV95">
        <f t="shared" si="92"/>
        <v>0</v>
      </c>
      <c r="CW95">
        <f t="shared" si="93"/>
        <v>0</v>
      </c>
      <c r="CX95">
        <f t="shared" si="94"/>
        <v>0</v>
      </c>
      <c r="CY95">
        <f t="shared" si="95"/>
        <v>0</v>
      </c>
      <c r="CZ95">
        <f t="shared" si="96"/>
        <v>0</v>
      </c>
      <c r="DN95">
        <v>0</v>
      </c>
      <c r="DO95">
        <v>0</v>
      </c>
      <c r="DP95">
        <v>1</v>
      </c>
      <c r="DQ95">
        <v>1</v>
      </c>
      <c r="DU95">
        <v>1003</v>
      </c>
      <c r="DV95" t="s">
        <v>212</v>
      </c>
      <c r="DW95" t="s">
        <v>212</v>
      </c>
      <c r="DX95">
        <v>1</v>
      </c>
      <c r="EE95">
        <v>48034329</v>
      </c>
      <c r="EF95">
        <v>16</v>
      </c>
      <c r="EG95" t="s">
        <v>203</v>
      </c>
      <c r="EH95">
        <v>0</v>
      </c>
      <c r="EJ95">
        <v>4</v>
      </c>
      <c r="EK95">
        <v>0</v>
      </c>
      <c r="EL95" t="s">
        <v>204</v>
      </c>
      <c r="EM95" t="s">
        <v>205</v>
      </c>
      <c r="EQ95">
        <v>0</v>
      </c>
      <c r="ER95">
        <v>666.67</v>
      </c>
      <c r="ES95">
        <v>666.67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1</v>
      </c>
      <c r="FD95">
        <v>18</v>
      </c>
      <c r="FF95">
        <v>800</v>
      </c>
      <c r="FQ95">
        <v>0</v>
      </c>
      <c r="FR95">
        <f t="shared" si="97"/>
        <v>0</v>
      </c>
      <c r="FS95">
        <v>0</v>
      </c>
      <c r="FX95">
        <v>0</v>
      </c>
      <c r="FY95">
        <v>0</v>
      </c>
      <c r="GA95" t="s">
        <v>242</v>
      </c>
      <c r="GD95">
        <v>1</v>
      </c>
      <c r="GF95">
        <v>-1757814265</v>
      </c>
      <c r="GG95">
        <v>2</v>
      </c>
      <c r="GH95">
        <v>3</v>
      </c>
      <c r="GI95">
        <v>-2</v>
      </c>
      <c r="GJ95">
        <v>0</v>
      </c>
      <c r="GK95">
        <v>0</v>
      </c>
      <c r="GL95">
        <f t="shared" si="98"/>
        <v>0</v>
      </c>
      <c r="GM95">
        <f t="shared" si="99"/>
        <v>46666.9</v>
      </c>
      <c r="GN95">
        <f t="shared" si="100"/>
        <v>0</v>
      </c>
      <c r="GO95">
        <f t="shared" si="101"/>
        <v>0</v>
      </c>
      <c r="GP95">
        <f t="shared" si="102"/>
        <v>46666.9</v>
      </c>
      <c r="GR95">
        <v>1</v>
      </c>
      <c r="GS95">
        <v>1</v>
      </c>
      <c r="GT95">
        <v>0</v>
      </c>
      <c r="GV95">
        <f t="shared" si="103"/>
        <v>0</v>
      </c>
      <c r="GW95">
        <v>1</v>
      </c>
      <c r="GX95">
        <f t="shared" si="104"/>
        <v>0</v>
      </c>
      <c r="HA95">
        <v>0</v>
      </c>
      <c r="HB95">
        <v>0</v>
      </c>
      <c r="HC95">
        <f t="shared" si="105"/>
        <v>0</v>
      </c>
      <c r="IK95">
        <v>0</v>
      </c>
    </row>
    <row r="96" spans="1:245" ht="12.75">
      <c r="A96">
        <v>18</v>
      </c>
      <c r="B96">
        <v>1</v>
      </c>
      <c r="C96">
        <v>123</v>
      </c>
      <c r="E96" t="s">
        <v>243</v>
      </c>
      <c r="F96" t="s">
        <v>244</v>
      </c>
      <c r="G96" t="s">
        <v>245</v>
      </c>
      <c r="H96" t="s">
        <v>202</v>
      </c>
      <c r="I96">
        <f>I94*J96</f>
        <v>35</v>
      </c>
      <c r="J96">
        <v>50</v>
      </c>
      <c r="O96">
        <f t="shared" si="71"/>
        <v>12602.8</v>
      </c>
      <c r="P96">
        <f t="shared" si="72"/>
        <v>12602.8</v>
      </c>
      <c r="Q96">
        <f t="shared" si="73"/>
        <v>0</v>
      </c>
      <c r="R96">
        <f t="shared" si="74"/>
        <v>0</v>
      </c>
      <c r="S96">
        <f t="shared" si="75"/>
        <v>0</v>
      </c>
      <c r="T96">
        <f t="shared" si="76"/>
        <v>0</v>
      </c>
      <c r="U96">
        <f t="shared" si="77"/>
        <v>0</v>
      </c>
      <c r="V96">
        <f t="shared" si="78"/>
        <v>0</v>
      </c>
      <c r="W96">
        <f t="shared" si="79"/>
        <v>0</v>
      </c>
      <c r="X96">
        <f t="shared" si="80"/>
        <v>0</v>
      </c>
      <c r="Y96">
        <f t="shared" si="81"/>
        <v>0</v>
      </c>
      <c r="AA96">
        <v>51669678</v>
      </c>
      <c r="AB96">
        <f t="shared" si="82"/>
        <v>128.6</v>
      </c>
      <c r="AC96">
        <f t="shared" si="83"/>
        <v>128.6</v>
      </c>
      <c r="AD96">
        <f>ROUND((((ET96)-(EU96))+AE96),2)</f>
        <v>0</v>
      </c>
      <c r="AE96">
        <f t="shared" si="108"/>
        <v>0</v>
      </c>
      <c r="AF96">
        <f t="shared" si="108"/>
        <v>0</v>
      </c>
      <c r="AG96">
        <f t="shared" si="84"/>
        <v>0</v>
      </c>
      <c r="AH96">
        <f t="shared" si="109"/>
        <v>0</v>
      </c>
      <c r="AI96">
        <f t="shared" si="109"/>
        <v>0</v>
      </c>
      <c r="AJ96">
        <f t="shared" si="85"/>
        <v>0</v>
      </c>
      <c r="AK96">
        <v>128.6</v>
      </c>
      <c r="AL96">
        <v>128.6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2.8</v>
      </c>
      <c r="BH96">
        <v>3</v>
      </c>
      <c r="BI96">
        <v>1</v>
      </c>
      <c r="BJ96" t="s">
        <v>246</v>
      </c>
      <c r="BM96">
        <v>500001</v>
      </c>
      <c r="BN96">
        <v>0</v>
      </c>
      <c r="BO96" t="s">
        <v>244</v>
      </c>
      <c r="BP96">
        <v>1</v>
      </c>
      <c r="BQ96">
        <v>8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0</v>
      </c>
      <c r="CA96">
        <v>0</v>
      </c>
      <c r="CE96">
        <v>0</v>
      </c>
      <c r="CF96">
        <v>0</v>
      </c>
      <c r="CG96">
        <v>0</v>
      </c>
      <c r="CM96">
        <v>0</v>
      </c>
      <c r="CO96">
        <v>0</v>
      </c>
      <c r="CP96">
        <f t="shared" si="86"/>
        <v>12602.8</v>
      </c>
      <c r="CQ96">
        <f t="shared" si="87"/>
        <v>360.08</v>
      </c>
      <c r="CR96">
        <f t="shared" si="88"/>
        <v>0</v>
      </c>
      <c r="CS96">
        <f t="shared" si="89"/>
        <v>0</v>
      </c>
      <c r="CT96">
        <f t="shared" si="90"/>
        <v>0</v>
      </c>
      <c r="CU96">
        <f t="shared" si="91"/>
        <v>0</v>
      </c>
      <c r="CV96">
        <f t="shared" si="92"/>
        <v>0</v>
      </c>
      <c r="CW96">
        <f t="shared" si="93"/>
        <v>0</v>
      </c>
      <c r="CX96">
        <f t="shared" si="94"/>
        <v>0</v>
      </c>
      <c r="CY96">
        <f t="shared" si="95"/>
        <v>0</v>
      </c>
      <c r="CZ96">
        <f t="shared" si="96"/>
        <v>0</v>
      </c>
      <c r="DN96">
        <v>0</v>
      </c>
      <c r="DO96">
        <v>0</v>
      </c>
      <c r="DP96">
        <v>1</v>
      </c>
      <c r="DQ96">
        <v>1</v>
      </c>
      <c r="DU96">
        <v>1010</v>
      </c>
      <c r="DV96" t="s">
        <v>202</v>
      </c>
      <c r="DW96" t="s">
        <v>202</v>
      </c>
      <c r="DX96">
        <v>1</v>
      </c>
      <c r="EE96">
        <v>48034321</v>
      </c>
      <c r="EF96">
        <v>8</v>
      </c>
      <c r="EG96" t="s">
        <v>151</v>
      </c>
      <c r="EH96">
        <v>0</v>
      </c>
      <c r="EJ96">
        <v>1</v>
      </c>
      <c r="EK96">
        <v>500001</v>
      </c>
      <c r="EL96" t="s">
        <v>152</v>
      </c>
      <c r="EM96" t="s">
        <v>153</v>
      </c>
      <c r="EQ96">
        <v>512</v>
      </c>
      <c r="ER96">
        <v>128.6</v>
      </c>
      <c r="ES96">
        <v>128.6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97"/>
        <v>0</v>
      </c>
      <c r="FS96">
        <v>0</v>
      </c>
      <c r="FX96">
        <v>0</v>
      </c>
      <c r="FY96">
        <v>0</v>
      </c>
      <c r="GD96">
        <v>1</v>
      </c>
      <c r="GF96">
        <v>-1183656813</v>
      </c>
      <c r="GG96">
        <v>2</v>
      </c>
      <c r="GH96">
        <v>1</v>
      </c>
      <c r="GI96">
        <v>2</v>
      </c>
      <c r="GJ96">
        <v>0</v>
      </c>
      <c r="GK96">
        <v>0</v>
      </c>
      <c r="GL96">
        <f t="shared" si="98"/>
        <v>0</v>
      </c>
      <c r="GM96">
        <f t="shared" si="99"/>
        <v>12602.8</v>
      </c>
      <c r="GN96">
        <f t="shared" si="100"/>
        <v>12602.8</v>
      </c>
      <c r="GO96">
        <f t="shared" si="101"/>
        <v>0</v>
      </c>
      <c r="GP96">
        <f t="shared" si="102"/>
        <v>0</v>
      </c>
      <c r="GR96">
        <v>0</v>
      </c>
      <c r="GS96">
        <v>3</v>
      </c>
      <c r="GT96">
        <v>0</v>
      </c>
      <c r="GV96">
        <f t="shared" si="103"/>
        <v>0</v>
      </c>
      <c r="GW96">
        <v>1</v>
      </c>
      <c r="GX96">
        <f t="shared" si="104"/>
        <v>0</v>
      </c>
      <c r="HA96">
        <v>0</v>
      </c>
      <c r="HB96">
        <v>0</v>
      </c>
      <c r="HC96">
        <f t="shared" si="105"/>
        <v>0</v>
      </c>
      <c r="IK96">
        <v>0</v>
      </c>
    </row>
    <row r="97" spans="1:245" ht="12.75">
      <c r="A97">
        <v>18</v>
      </c>
      <c r="B97">
        <v>1</v>
      </c>
      <c r="C97">
        <v>124</v>
      </c>
      <c r="E97" t="s">
        <v>247</v>
      </c>
      <c r="F97" t="s">
        <v>248</v>
      </c>
      <c r="G97" t="s">
        <v>249</v>
      </c>
      <c r="H97" t="s">
        <v>37</v>
      </c>
      <c r="I97">
        <f>I94*J97</f>
        <v>-0.21</v>
      </c>
      <c r="J97">
        <v>-0.3</v>
      </c>
      <c r="O97">
        <f t="shared" si="71"/>
        <v>-17425.72</v>
      </c>
      <c r="P97">
        <f t="shared" si="72"/>
        <v>-17425.72</v>
      </c>
      <c r="Q97">
        <f t="shared" si="73"/>
        <v>0</v>
      </c>
      <c r="R97">
        <f t="shared" si="74"/>
        <v>0</v>
      </c>
      <c r="S97">
        <f t="shared" si="75"/>
        <v>0</v>
      </c>
      <c r="T97">
        <f t="shared" si="76"/>
        <v>0</v>
      </c>
      <c r="U97">
        <f t="shared" si="77"/>
        <v>0</v>
      </c>
      <c r="V97">
        <f t="shared" si="78"/>
        <v>0</v>
      </c>
      <c r="W97">
        <f t="shared" si="79"/>
        <v>0</v>
      </c>
      <c r="X97">
        <f t="shared" si="80"/>
        <v>0</v>
      </c>
      <c r="Y97">
        <f t="shared" si="81"/>
        <v>0</v>
      </c>
      <c r="AA97">
        <v>51669678</v>
      </c>
      <c r="AB97">
        <f t="shared" si="82"/>
        <v>13088.27</v>
      </c>
      <c r="AC97">
        <f t="shared" si="83"/>
        <v>13088.27</v>
      </c>
      <c r="AD97">
        <f>ROUND((((ET97)-(EU97))+AE97),2)</f>
        <v>0</v>
      </c>
      <c r="AE97">
        <f t="shared" si="108"/>
        <v>0</v>
      </c>
      <c r="AF97">
        <f t="shared" si="108"/>
        <v>0</v>
      </c>
      <c r="AG97">
        <f t="shared" si="84"/>
        <v>0</v>
      </c>
      <c r="AH97">
        <f t="shared" si="109"/>
        <v>0</v>
      </c>
      <c r="AI97">
        <f t="shared" si="109"/>
        <v>0</v>
      </c>
      <c r="AJ97">
        <f t="shared" si="85"/>
        <v>0</v>
      </c>
      <c r="AK97">
        <v>13088.27</v>
      </c>
      <c r="AL97">
        <v>13088.27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6.34</v>
      </c>
      <c r="BH97">
        <v>3</v>
      </c>
      <c r="BI97">
        <v>1</v>
      </c>
      <c r="BJ97" t="s">
        <v>250</v>
      </c>
      <c r="BM97">
        <v>500001</v>
      </c>
      <c r="BN97">
        <v>0</v>
      </c>
      <c r="BO97" t="s">
        <v>248</v>
      </c>
      <c r="BP97">
        <v>1</v>
      </c>
      <c r="BQ97">
        <v>8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0</v>
      </c>
      <c r="CA97">
        <v>0</v>
      </c>
      <c r="CE97">
        <v>0</v>
      </c>
      <c r="CF97">
        <v>0</v>
      </c>
      <c r="CG97">
        <v>0</v>
      </c>
      <c r="CM97">
        <v>0</v>
      </c>
      <c r="CO97">
        <v>0</v>
      </c>
      <c r="CP97">
        <f t="shared" si="86"/>
        <v>-17425.72</v>
      </c>
      <c r="CQ97">
        <f t="shared" si="87"/>
        <v>82979.6318</v>
      </c>
      <c r="CR97">
        <f t="shared" si="88"/>
        <v>0</v>
      </c>
      <c r="CS97">
        <f t="shared" si="89"/>
        <v>0</v>
      </c>
      <c r="CT97">
        <f t="shared" si="90"/>
        <v>0</v>
      </c>
      <c r="CU97">
        <f t="shared" si="91"/>
        <v>0</v>
      </c>
      <c r="CV97">
        <f t="shared" si="92"/>
        <v>0</v>
      </c>
      <c r="CW97">
        <f t="shared" si="93"/>
        <v>0</v>
      </c>
      <c r="CX97">
        <f t="shared" si="94"/>
        <v>0</v>
      </c>
      <c r="CY97">
        <f t="shared" si="95"/>
        <v>0</v>
      </c>
      <c r="CZ97">
        <f t="shared" si="96"/>
        <v>0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37</v>
      </c>
      <c r="DW97" t="s">
        <v>37</v>
      </c>
      <c r="DX97">
        <v>1000</v>
      </c>
      <c r="EE97">
        <v>48034321</v>
      </c>
      <c r="EF97">
        <v>8</v>
      </c>
      <c r="EG97" t="s">
        <v>151</v>
      </c>
      <c r="EH97">
        <v>0</v>
      </c>
      <c r="EJ97">
        <v>1</v>
      </c>
      <c r="EK97">
        <v>500001</v>
      </c>
      <c r="EL97" t="s">
        <v>152</v>
      </c>
      <c r="EM97" t="s">
        <v>153</v>
      </c>
      <c r="EQ97">
        <v>33280</v>
      </c>
      <c r="ER97">
        <v>13088.27</v>
      </c>
      <c r="ES97">
        <v>13088.27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97"/>
        <v>0</v>
      </c>
      <c r="FS97">
        <v>0</v>
      </c>
      <c r="FX97">
        <v>0</v>
      </c>
      <c r="FY97">
        <v>0</v>
      </c>
      <c r="GD97">
        <v>1</v>
      </c>
      <c r="GF97">
        <v>49850889</v>
      </c>
      <c r="GG97">
        <v>2</v>
      </c>
      <c r="GH97">
        <v>1</v>
      </c>
      <c r="GI97">
        <v>2</v>
      </c>
      <c r="GJ97">
        <v>0</v>
      </c>
      <c r="GK97">
        <v>0</v>
      </c>
      <c r="GL97">
        <f t="shared" si="98"/>
        <v>0</v>
      </c>
      <c r="GM97">
        <f t="shared" si="99"/>
        <v>-17425.72</v>
      </c>
      <c r="GN97">
        <f t="shared" si="100"/>
        <v>-17425.72</v>
      </c>
      <c r="GO97">
        <f t="shared" si="101"/>
        <v>0</v>
      </c>
      <c r="GP97">
        <f t="shared" si="102"/>
        <v>0</v>
      </c>
      <c r="GR97">
        <v>0</v>
      </c>
      <c r="GS97">
        <v>3</v>
      </c>
      <c r="GT97">
        <v>0</v>
      </c>
      <c r="GV97">
        <f t="shared" si="103"/>
        <v>0</v>
      </c>
      <c r="GW97">
        <v>1</v>
      </c>
      <c r="GX97">
        <f t="shared" si="104"/>
        <v>0</v>
      </c>
      <c r="HA97">
        <v>0</v>
      </c>
      <c r="HB97">
        <v>0</v>
      </c>
      <c r="HC97">
        <f t="shared" si="105"/>
        <v>0</v>
      </c>
      <c r="IK97">
        <v>0</v>
      </c>
    </row>
    <row r="98" spans="1:245" ht="12.75">
      <c r="A98">
        <v>17</v>
      </c>
      <c r="B98">
        <v>1</v>
      </c>
      <c r="C98">
        <f>ROW(SmtRes!A133)</f>
        <v>133</v>
      </c>
      <c r="D98">
        <f>ROW(EtalonRes!A126)</f>
        <v>126</v>
      </c>
      <c r="E98" t="s">
        <v>251</v>
      </c>
      <c r="F98" t="s">
        <v>252</v>
      </c>
      <c r="G98" t="s">
        <v>253</v>
      </c>
      <c r="H98" t="s">
        <v>254</v>
      </c>
      <c r="I98">
        <v>2</v>
      </c>
      <c r="J98">
        <v>0</v>
      </c>
      <c r="O98">
        <f t="shared" si="71"/>
        <v>810.91</v>
      </c>
      <c r="P98">
        <f t="shared" si="72"/>
        <v>60.45</v>
      </c>
      <c r="Q98">
        <f t="shared" si="73"/>
        <v>49.7</v>
      </c>
      <c r="R98">
        <f t="shared" si="74"/>
        <v>0</v>
      </c>
      <c r="S98">
        <f t="shared" si="75"/>
        <v>700.76</v>
      </c>
      <c r="T98">
        <f t="shared" si="76"/>
        <v>0</v>
      </c>
      <c r="U98">
        <f t="shared" si="77"/>
        <v>4.1975</v>
      </c>
      <c r="V98">
        <f t="shared" si="78"/>
        <v>0</v>
      </c>
      <c r="W98">
        <f t="shared" si="79"/>
        <v>0</v>
      </c>
      <c r="X98">
        <f t="shared" si="80"/>
        <v>805.87</v>
      </c>
      <c r="Y98">
        <f t="shared" si="81"/>
        <v>497.54</v>
      </c>
      <c r="AA98">
        <v>51669678</v>
      </c>
      <c r="AB98">
        <f t="shared" si="82"/>
        <v>44.28</v>
      </c>
      <c r="AC98">
        <f t="shared" si="83"/>
        <v>4.33</v>
      </c>
      <c r="AD98">
        <f>ROUND((((((ET98*1.25)*1.25))-(((EU98*1.25)*1.25)))+AE98),2)</f>
        <v>4.27</v>
      </c>
      <c r="AE98">
        <f>ROUND((((EU98*1.25)*1.25)),2)</f>
        <v>0</v>
      </c>
      <c r="AF98">
        <f>ROUND((((EV98*1.15)*1.25)),2)</f>
        <v>35.68</v>
      </c>
      <c r="AG98">
        <f t="shared" si="84"/>
        <v>0</v>
      </c>
      <c r="AH98">
        <f>(((EW98*1.15)*1.25))</f>
        <v>2.09875</v>
      </c>
      <c r="AI98">
        <f>(((EX98*1.25)*1.25))</f>
        <v>0</v>
      </c>
      <c r="AJ98">
        <f t="shared" si="85"/>
        <v>0</v>
      </c>
      <c r="AK98">
        <v>31.88</v>
      </c>
      <c r="AL98">
        <v>4.33</v>
      </c>
      <c r="AM98">
        <v>2.73</v>
      </c>
      <c r="AN98">
        <v>0</v>
      </c>
      <c r="AO98">
        <v>24.82</v>
      </c>
      <c r="AP98">
        <v>0</v>
      </c>
      <c r="AQ98">
        <v>1.46</v>
      </c>
      <c r="AR98">
        <v>0</v>
      </c>
      <c r="AS98">
        <v>0</v>
      </c>
      <c r="AT98">
        <v>115</v>
      </c>
      <c r="AU98">
        <v>71</v>
      </c>
      <c r="AV98">
        <v>1</v>
      </c>
      <c r="AW98">
        <v>1</v>
      </c>
      <c r="AZ98">
        <v>1</v>
      </c>
      <c r="BA98">
        <v>9.82</v>
      </c>
      <c r="BB98">
        <v>5.82</v>
      </c>
      <c r="BC98">
        <v>6.98</v>
      </c>
      <c r="BH98">
        <v>0</v>
      </c>
      <c r="BI98">
        <v>1</v>
      </c>
      <c r="BJ98" t="s">
        <v>255</v>
      </c>
      <c r="BM98">
        <v>20001</v>
      </c>
      <c r="BN98">
        <v>0</v>
      </c>
      <c r="BO98" t="s">
        <v>252</v>
      </c>
      <c r="BP98">
        <v>1</v>
      </c>
      <c r="BQ98">
        <v>2</v>
      </c>
      <c r="BR98">
        <v>0</v>
      </c>
      <c r="BS98">
        <v>9.82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128</v>
      </c>
      <c r="CA98">
        <v>83</v>
      </c>
      <c r="CE98">
        <v>0</v>
      </c>
      <c r="CF98">
        <v>0</v>
      </c>
      <c r="CG98">
        <v>0</v>
      </c>
      <c r="CM98">
        <v>0</v>
      </c>
      <c r="CN98" t="s">
        <v>721</v>
      </c>
      <c r="CO98">
        <v>0</v>
      </c>
      <c r="CP98">
        <f t="shared" si="86"/>
        <v>810.91</v>
      </c>
      <c r="CQ98">
        <f t="shared" si="87"/>
        <v>30.2234</v>
      </c>
      <c r="CR98">
        <f t="shared" si="88"/>
        <v>24.851399999999998</v>
      </c>
      <c r="CS98">
        <f t="shared" si="89"/>
        <v>0</v>
      </c>
      <c r="CT98">
        <f t="shared" si="90"/>
        <v>350.37760000000003</v>
      </c>
      <c r="CU98">
        <f t="shared" si="91"/>
        <v>0</v>
      </c>
      <c r="CV98">
        <f t="shared" si="92"/>
        <v>2.09875</v>
      </c>
      <c r="CW98">
        <f t="shared" si="93"/>
        <v>0</v>
      </c>
      <c r="CX98">
        <f t="shared" si="94"/>
        <v>0</v>
      </c>
      <c r="CY98">
        <f t="shared" si="95"/>
        <v>805.8739999999999</v>
      </c>
      <c r="CZ98">
        <f t="shared" si="96"/>
        <v>497.5396</v>
      </c>
      <c r="DE98" t="s">
        <v>139</v>
      </c>
      <c r="DF98" t="s">
        <v>139</v>
      </c>
      <c r="DG98" t="s">
        <v>140</v>
      </c>
      <c r="DI98" t="s">
        <v>140</v>
      </c>
      <c r="DJ98" t="s">
        <v>139</v>
      </c>
      <c r="DN98">
        <v>0</v>
      </c>
      <c r="DO98">
        <v>0</v>
      </c>
      <c r="DP98">
        <v>1</v>
      </c>
      <c r="DQ98">
        <v>1</v>
      </c>
      <c r="DU98">
        <v>1013</v>
      </c>
      <c r="DV98" t="s">
        <v>254</v>
      </c>
      <c r="DW98" t="s">
        <v>254</v>
      </c>
      <c r="DX98">
        <v>1</v>
      </c>
      <c r="EE98">
        <v>48034419</v>
      </c>
      <c r="EF98">
        <v>2</v>
      </c>
      <c r="EG98" t="s">
        <v>20</v>
      </c>
      <c r="EH98">
        <v>0</v>
      </c>
      <c r="EJ98">
        <v>1</v>
      </c>
      <c r="EK98">
        <v>20001</v>
      </c>
      <c r="EL98" t="s">
        <v>256</v>
      </c>
      <c r="EM98" t="s">
        <v>257</v>
      </c>
      <c r="EO98" t="s">
        <v>143</v>
      </c>
      <c r="EQ98">
        <v>131584</v>
      </c>
      <c r="ER98">
        <v>31.88</v>
      </c>
      <c r="ES98">
        <v>4.33</v>
      </c>
      <c r="ET98">
        <v>2.73</v>
      </c>
      <c r="EU98">
        <v>0</v>
      </c>
      <c r="EV98">
        <v>24.82</v>
      </c>
      <c r="EW98">
        <v>1.46</v>
      </c>
      <c r="EX98">
        <v>0</v>
      </c>
      <c r="EY98">
        <v>0</v>
      </c>
      <c r="FQ98">
        <v>0</v>
      </c>
      <c r="FR98">
        <f t="shared" si="97"/>
        <v>0</v>
      </c>
      <c r="FS98">
        <v>0</v>
      </c>
      <c r="FT98" t="s">
        <v>24</v>
      </c>
      <c r="FU98" t="s">
        <v>25</v>
      </c>
      <c r="FX98">
        <v>115.2</v>
      </c>
      <c r="FY98">
        <v>70.55</v>
      </c>
      <c r="GD98">
        <v>1</v>
      </c>
      <c r="GF98">
        <v>-1029400560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si="98"/>
        <v>0</v>
      </c>
      <c r="GM98">
        <f t="shared" si="99"/>
        <v>2114.32</v>
      </c>
      <c r="GN98">
        <f t="shared" si="100"/>
        <v>2114.32</v>
      </c>
      <c r="GO98">
        <f t="shared" si="101"/>
        <v>0</v>
      </c>
      <c r="GP98">
        <f t="shared" si="102"/>
        <v>0</v>
      </c>
      <c r="GR98">
        <v>0</v>
      </c>
      <c r="GS98">
        <v>3</v>
      </c>
      <c r="GT98">
        <v>0</v>
      </c>
      <c r="GV98">
        <f t="shared" si="103"/>
        <v>0</v>
      </c>
      <c r="GW98">
        <v>1</v>
      </c>
      <c r="GX98">
        <f t="shared" si="104"/>
        <v>0</v>
      </c>
      <c r="HA98">
        <v>0</v>
      </c>
      <c r="HB98">
        <v>0</v>
      </c>
      <c r="HC98">
        <f t="shared" si="105"/>
        <v>0</v>
      </c>
      <c r="IK98">
        <v>0</v>
      </c>
    </row>
    <row r="99" spans="1:245" ht="12.75">
      <c r="A99">
        <v>18</v>
      </c>
      <c r="B99">
        <v>1</v>
      </c>
      <c r="C99">
        <v>133</v>
      </c>
      <c r="E99" t="s">
        <v>258</v>
      </c>
      <c r="F99" t="s">
        <v>200</v>
      </c>
      <c r="G99" t="s">
        <v>259</v>
      </c>
      <c r="H99" t="s">
        <v>202</v>
      </c>
      <c r="I99">
        <f>I98*J99</f>
        <v>2</v>
      </c>
      <c r="J99">
        <v>1</v>
      </c>
      <c r="O99">
        <f t="shared" si="71"/>
        <v>1700.01</v>
      </c>
      <c r="P99">
        <f t="shared" si="72"/>
        <v>1700.01</v>
      </c>
      <c r="Q99">
        <f t="shared" si="73"/>
        <v>0</v>
      </c>
      <c r="R99">
        <f t="shared" si="74"/>
        <v>0</v>
      </c>
      <c r="S99">
        <f t="shared" si="75"/>
        <v>0</v>
      </c>
      <c r="T99">
        <f t="shared" si="76"/>
        <v>0</v>
      </c>
      <c r="U99">
        <f t="shared" si="77"/>
        <v>0</v>
      </c>
      <c r="V99">
        <f t="shared" si="78"/>
        <v>0</v>
      </c>
      <c r="W99">
        <f t="shared" si="79"/>
        <v>0</v>
      </c>
      <c r="X99">
        <f t="shared" si="80"/>
        <v>0</v>
      </c>
      <c r="Y99">
        <f t="shared" si="81"/>
        <v>0</v>
      </c>
      <c r="AA99">
        <v>51669678</v>
      </c>
      <c r="AB99">
        <f t="shared" si="82"/>
        <v>133.23</v>
      </c>
      <c r="AC99">
        <f t="shared" si="83"/>
        <v>133.23</v>
      </c>
      <c r="AD99">
        <f>ROUND((((ET99)-(EU99))+AE99),2)</f>
        <v>0</v>
      </c>
      <c r="AE99">
        <f>ROUND((EU99),2)</f>
        <v>0</v>
      </c>
      <c r="AF99">
        <f>ROUND((EV99),2)</f>
        <v>0</v>
      </c>
      <c r="AG99">
        <f t="shared" si="84"/>
        <v>0</v>
      </c>
      <c r="AH99">
        <f>(EW99)</f>
        <v>0</v>
      </c>
      <c r="AI99">
        <f>(EX99)</f>
        <v>0</v>
      </c>
      <c r="AJ99">
        <f t="shared" si="85"/>
        <v>0</v>
      </c>
      <c r="AK99">
        <v>133.23</v>
      </c>
      <c r="AL99">
        <v>133.23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6.38</v>
      </c>
      <c r="BH99">
        <v>3</v>
      </c>
      <c r="BI99">
        <v>1</v>
      </c>
      <c r="BM99">
        <v>900005</v>
      </c>
      <c r="BN99">
        <v>0</v>
      </c>
      <c r="BP99">
        <v>0</v>
      </c>
      <c r="BQ99">
        <v>8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0</v>
      </c>
      <c r="CA99">
        <v>0</v>
      </c>
      <c r="CE99">
        <v>0</v>
      </c>
      <c r="CF99">
        <v>0</v>
      </c>
      <c r="CG99">
        <v>0</v>
      </c>
      <c r="CM99">
        <v>0</v>
      </c>
      <c r="CO99">
        <v>0</v>
      </c>
      <c r="CP99">
        <f t="shared" si="86"/>
        <v>1700.01</v>
      </c>
      <c r="CQ99">
        <f t="shared" si="87"/>
        <v>850.0074</v>
      </c>
      <c r="CR99">
        <f t="shared" si="88"/>
        <v>0</v>
      </c>
      <c r="CS99">
        <f t="shared" si="89"/>
        <v>0</v>
      </c>
      <c r="CT99">
        <f t="shared" si="90"/>
        <v>0</v>
      </c>
      <c r="CU99">
        <f t="shared" si="91"/>
        <v>0</v>
      </c>
      <c r="CV99">
        <f t="shared" si="92"/>
        <v>0</v>
      </c>
      <c r="CW99">
        <f t="shared" si="93"/>
        <v>0</v>
      </c>
      <c r="CX99">
        <f t="shared" si="94"/>
        <v>0</v>
      </c>
      <c r="CY99">
        <f t="shared" si="95"/>
        <v>0</v>
      </c>
      <c r="CZ99">
        <f t="shared" si="96"/>
        <v>0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202</v>
      </c>
      <c r="DW99" t="s">
        <v>202</v>
      </c>
      <c r="DX99">
        <v>1</v>
      </c>
      <c r="EE99">
        <v>48082719</v>
      </c>
      <c r="EF99">
        <v>8</v>
      </c>
      <c r="EG99" t="s">
        <v>151</v>
      </c>
      <c r="EH99">
        <v>0</v>
      </c>
      <c r="EJ99">
        <v>1</v>
      </c>
      <c r="EK99">
        <v>900005</v>
      </c>
      <c r="EL99" t="s">
        <v>260</v>
      </c>
      <c r="EM99" t="s">
        <v>261</v>
      </c>
      <c r="EQ99">
        <v>0</v>
      </c>
      <c r="ER99">
        <v>135.49</v>
      </c>
      <c r="ES99">
        <v>133.23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1</v>
      </c>
      <c r="FD99">
        <v>18</v>
      </c>
      <c r="FF99">
        <v>1020</v>
      </c>
      <c r="FQ99">
        <v>0</v>
      </c>
      <c r="FR99">
        <f t="shared" si="97"/>
        <v>0</v>
      </c>
      <c r="FS99">
        <v>0</v>
      </c>
      <c r="FX99">
        <v>0</v>
      </c>
      <c r="FY99">
        <v>0</v>
      </c>
      <c r="GA99" t="s">
        <v>262</v>
      </c>
      <c r="GD99">
        <v>1</v>
      </c>
      <c r="GF99">
        <v>1619616129</v>
      </c>
      <c r="GG99">
        <v>2</v>
      </c>
      <c r="GH99">
        <v>3</v>
      </c>
      <c r="GI99">
        <v>3</v>
      </c>
      <c r="GJ99">
        <v>0</v>
      </c>
      <c r="GK99">
        <v>0</v>
      </c>
      <c r="GL99">
        <f t="shared" si="98"/>
        <v>0</v>
      </c>
      <c r="GM99">
        <f t="shared" si="99"/>
        <v>1700.01</v>
      </c>
      <c r="GN99">
        <f t="shared" si="100"/>
        <v>1700.01</v>
      </c>
      <c r="GO99">
        <f t="shared" si="101"/>
        <v>0</v>
      </c>
      <c r="GP99">
        <f t="shared" si="102"/>
        <v>0</v>
      </c>
      <c r="GR99">
        <v>1</v>
      </c>
      <c r="GS99">
        <v>1</v>
      </c>
      <c r="GT99">
        <v>0</v>
      </c>
      <c r="GV99">
        <f t="shared" si="103"/>
        <v>0</v>
      </c>
      <c r="GW99">
        <v>1</v>
      </c>
      <c r="GX99">
        <f t="shared" si="104"/>
        <v>0</v>
      </c>
      <c r="HA99">
        <v>0</v>
      </c>
      <c r="HB99">
        <v>0</v>
      </c>
      <c r="HC99">
        <f t="shared" si="105"/>
        <v>0</v>
      </c>
      <c r="IK99">
        <v>0</v>
      </c>
    </row>
    <row r="101" spans="1:206" ht="12.75">
      <c r="A101" s="2">
        <v>51</v>
      </c>
      <c r="B101" s="2">
        <f>B71</f>
        <v>1</v>
      </c>
      <c r="C101" s="2">
        <f>A71</f>
        <v>5</v>
      </c>
      <c r="D101" s="2">
        <f>ROW(A71)</f>
        <v>71</v>
      </c>
      <c r="E101" s="2"/>
      <c r="F101" s="2" t="str">
        <f>IF(F71&lt;&gt;"",F71,"")</f>
        <v>Новый подраздел</v>
      </c>
      <c r="G101" s="2" t="str">
        <f>IF(G71&lt;&gt;"",G71,"")</f>
        <v>2.1. Крыша и кровля</v>
      </c>
      <c r="H101" s="2">
        <v>0</v>
      </c>
      <c r="I101" s="2"/>
      <c r="J101" s="2"/>
      <c r="K101" s="2"/>
      <c r="L101" s="2"/>
      <c r="M101" s="2"/>
      <c r="N101" s="2"/>
      <c r="O101" s="2">
        <f aca="true" t="shared" si="110" ref="O101:T101">ROUND(AB101,2)</f>
        <v>2355127.05</v>
      </c>
      <c r="P101" s="2">
        <f t="shared" si="110"/>
        <v>1790131.57</v>
      </c>
      <c r="Q101" s="2">
        <f t="shared" si="110"/>
        <v>68780.96</v>
      </c>
      <c r="R101" s="2">
        <f t="shared" si="110"/>
        <v>7617.73</v>
      </c>
      <c r="S101" s="2">
        <f t="shared" si="110"/>
        <v>496214.52</v>
      </c>
      <c r="T101" s="2">
        <f t="shared" si="110"/>
        <v>0</v>
      </c>
      <c r="U101" s="2">
        <f>AH101</f>
        <v>2930.2270624999996</v>
      </c>
      <c r="V101" s="2">
        <f>AI101</f>
        <v>31.624999999999996</v>
      </c>
      <c r="W101" s="2">
        <f>ROUND(AJ101,2)</f>
        <v>0</v>
      </c>
      <c r="X101" s="2">
        <f>ROUND(AK101,2)</f>
        <v>532855.04</v>
      </c>
      <c r="Y101" s="2">
        <f>ROUND(AL101,2)</f>
        <v>281921.29</v>
      </c>
      <c r="Z101" s="2"/>
      <c r="AA101" s="2"/>
      <c r="AB101" s="2">
        <f>ROUND(SUMIF(AA75:AA99,"=51669678",O75:O99),2)</f>
        <v>2355127.05</v>
      </c>
      <c r="AC101" s="2">
        <f>ROUND(SUMIF(AA75:AA99,"=51669678",P75:P99),2)</f>
        <v>1790131.57</v>
      </c>
      <c r="AD101" s="2">
        <f>ROUND(SUMIF(AA75:AA99,"=51669678",Q75:Q99),2)</f>
        <v>68780.96</v>
      </c>
      <c r="AE101" s="2">
        <f>ROUND(SUMIF(AA75:AA99,"=51669678",R75:R99),2)</f>
        <v>7617.73</v>
      </c>
      <c r="AF101" s="2">
        <f>ROUND(SUMIF(AA75:AA99,"=51669678",S75:S99),2)</f>
        <v>496214.52</v>
      </c>
      <c r="AG101" s="2">
        <f>ROUND(SUMIF(AA75:AA99,"=51669678",T75:T99),2)</f>
        <v>0</v>
      </c>
      <c r="AH101" s="2">
        <f>SUMIF(AA75:AA99,"=51669678",U75:U99)</f>
        <v>2930.2270624999996</v>
      </c>
      <c r="AI101" s="2">
        <f>SUMIF(AA75:AA99,"=51669678",V75:V99)</f>
        <v>31.624999999999996</v>
      </c>
      <c r="AJ101" s="2">
        <f>ROUND(SUMIF(AA75:AA99,"=51669678",W75:W99),2)</f>
        <v>0</v>
      </c>
      <c r="AK101" s="2">
        <f>ROUND(SUMIF(AA75:AA99,"=51669678",X75:X99),2)</f>
        <v>532855.04</v>
      </c>
      <c r="AL101" s="2">
        <f>ROUND(SUMIF(AA75:AA99,"=51669678",Y75:Y99),2)</f>
        <v>281921.29</v>
      </c>
      <c r="AM101" s="2"/>
      <c r="AN101" s="2"/>
      <c r="AO101" s="2">
        <f aca="true" t="shared" si="111" ref="AO101:BC101">ROUND(BX101,2)</f>
        <v>0</v>
      </c>
      <c r="AP101" s="2">
        <f t="shared" si="111"/>
        <v>0</v>
      </c>
      <c r="AQ101" s="2">
        <f t="shared" si="111"/>
        <v>0</v>
      </c>
      <c r="AR101" s="2">
        <f t="shared" si="111"/>
        <v>3169903.38</v>
      </c>
      <c r="AS101" s="2">
        <f t="shared" si="111"/>
        <v>3059662.39</v>
      </c>
      <c r="AT101" s="2">
        <f t="shared" si="111"/>
        <v>890.57</v>
      </c>
      <c r="AU101" s="2">
        <f t="shared" si="111"/>
        <v>109350.42</v>
      </c>
      <c r="AV101" s="2">
        <f t="shared" si="111"/>
        <v>1790131.57</v>
      </c>
      <c r="AW101" s="2">
        <f t="shared" si="111"/>
        <v>1790131.57</v>
      </c>
      <c r="AX101" s="2">
        <f t="shared" si="111"/>
        <v>0</v>
      </c>
      <c r="AY101" s="2">
        <f t="shared" si="111"/>
        <v>1790131.57</v>
      </c>
      <c r="AZ101" s="2">
        <f t="shared" si="111"/>
        <v>0</v>
      </c>
      <c r="BA101" s="2">
        <f t="shared" si="111"/>
        <v>0</v>
      </c>
      <c r="BB101" s="2">
        <f t="shared" si="111"/>
        <v>0</v>
      </c>
      <c r="BC101" s="2">
        <f t="shared" si="111"/>
        <v>0</v>
      </c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>
        <f>ROUND(SUMIF(AA75:AA99,"=51669678",FQ75:FQ99),2)</f>
        <v>0</v>
      </c>
      <c r="BY101" s="2">
        <f>ROUND(SUMIF(AA75:AA99,"=51669678",FR75:FR99),2)</f>
        <v>0</v>
      </c>
      <c r="BZ101" s="2">
        <f>ROUND(SUMIF(AA75:AA99,"=51669678",GL75:GL99),2)</f>
        <v>0</v>
      </c>
      <c r="CA101" s="2">
        <f>ROUND(SUMIF(AA75:AA99,"=51669678",GM75:GM99),2)</f>
        <v>3169903.38</v>
      </c>
      <c r="CB101" s="2">
        <f>ROUND(SUMIF(AA75:AA99,"=51669678",GN75:GN99),2)</f>
        <v>3059662.39</v>
      </c>
      <c r="CC101" s="2">
        <f>ROUND(SUMIF(AA75:AA99,"=51669678",GO75:GO99),2)</f>
        <v>890.57</v>
      </c>
      <c r="CD101" s="2">
        <f>ROUND(SUMIF(AA75:AA99,"=51669678",GP75:GP99),2)</f>
        <v>109350.42</v>
      </c>
      <c r="CE101" s="2">
        <f>AC101-BX101</f>
        <v>1790131.57</v>
      </c>
      <c r="CF101" s="2">
        <f>AC101-BY101</f>
        <v>1790131.57</v>
      </c>
      <c r="CG101" s="2">
        <f>BX101-BZ101</f>
        <v>0</v>
      </c>
      <c r="CH101" s="2">
        <f>AC101-BX101-BY101+BZ101</f>
        <v>1790131.57</v>
      </c>
      <c r="CI101" s="2">
        <f>BY101-BZ101</f>
        <v>0</v>
      </c>
      <c r="CJ101" s="2">
        <f>ROUND(SUMIF(AA75:AA99,"=51669678",GX75:GX99),2)</f>
        <v>0</v>
      </c>
      <c r="CK101" s="2">
        <f>ROUND(SUMIF(AA75:AA99,"=51669678",GY75:GY99),2)</f>
        <v>0</v>
      </c>
      <c r="CL101" s="2">
        <f>ROUND(SUMIF(AA75:AA99,"=51669678",GZ75:GZ99),2)</f>
        <v>0</v>
      </c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>
        <v>0</v>
      </c>
    </row>
    <row r="103" spans="1:23" ht="12.75">
      <c r="A103" s="4">
        <v>50</v>
      </c>
      <c r="B103" s="4">
        <v>0</v>
      </c>
      <c r="C103" s="4">
        <v>0</v>
      </c>
      <c r="D103" s="4">
        <v>1</v>
      </c>
      <c r="E103" s="4">
        <v>201</v>
      </c>
      <c r="F103" s="4">
        <f>ROUND(Source!O101,O103)</f>
        <v>2355127.05</v>
      </c>
      <c r="G103" s="4" t="s">
        <v>79</v>
      </c>
      <c r="H103" s="4" t="s">
        <v>80</v>
      </c>
      <c r="I103" s="4"/>
      <c r="J103" s="4"/>
      <c r="K103" s="4">
        <v>201</v>
      </c>
      <c r="L103" s="4">
        <v>1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ht="12.75">
      <c r="A104" s="4">
        <v>50</v>
      </c>
      <c r="B104" s="4">
        <v>0</v>
      </c>
      <c r="C104" s="4">
        <v>0</v>
      </c>
      <c r="D104" s="4">
        <v>1</v>
      </c>
      <c r="E104" s="4">
        <v>202</v>
      </c>
      <c r="F104" s="4">
        <f>ROUND(Source!P101,O104)</f>
        <v>1790131.57</v>
      </c>
      <c r="G104" s="4" t="s">
        <v>81</v>
      </c>
      <c r="H104" s="4" t="s">
        <v>82</v>
      </c>
      <c r="I104" s="4"/>
      <c r="J104" s="4"/>
      <c r="K104" s="4">
        <v>202</v>
      </c>
      <c r="L104" s="4">
        <v>2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4">
        <v>50</v>
      </c>
      <c r="B105" s="4">
        <v>0</v>
      </c>
      <c r="C105" s="4">
        <v>0</v>
      </c>
      <c r="D105" s="4">
        <v>1</v>
      </c>
      <c r="E105" s="4">
        <v>222</v>
      </c>
      <c r="F105" s="4">
        <f>ROUND(Source!AO101,O105)</f>
        <v>0</v>
      </c>
      <c r="G105" s="4" t="s">
        <v>83</v>
      </c>
      <c r="H105" s="4" t="s">
        <v>84</v>
      </c>
      <c r="I105" s="4"/>
      <c r="J105" s="4"/>
      <c r="K105" s="4">
        <v>222</v>
      </c>
      <c r="L105" s="4">
        <v>3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4">
        <v>50</v>
      </c>
      <c r="B106" s="4">
        <v>0</v>
      </c>
      <c r="C106" s="4">
        <v>0</v>
      </c>
      <c r="D106" s="4">
        <v>1</v>
      </c>
      <c r="E106" s="4">
        <v>225</v>
      </c>
      <c r="F106" s="4">
        <f>ROUND(Source!AV101,O106)</f>
        <v>1790131.57</v>
      </c>
      <c r="G106" s="4" t="s">
        <v>85</v>
      </c>
      <c r="H106" s="4" t="s">
        <v>86</v>
      </c>
      <c r="I106" s="4"/>
      <c r="J106" s="4"/>
      <c r="K106" s="4">
        <v>225</v>
      </c>
      <c r="L106" s="4">
        <v>4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ht="12.75">
      <c r="A107" s="4">
        <v>50</v>
      </c>
      <c r="B107" s="4">
        <v>0</v>
      </c>
      <c r="C107" s="4">
        <v>0</v>
      </c>
      <c r="D107" s="4">
        <v>1</v>
      </c>
      <c r="E107" s="4">
        <v>226</v>
      </c>
      <c r="F107" s="4">
        <f>ROUND(Source!AW101,O107)</f>
        <v>1790131.57</v>
      </c>
      <c r="G107" s="4" t="s">
        <v>87</v>
      </c>
      <c r="H107" s="4" t="s">
        <v>88</v>
      </c>
      <c r="I107" s="4"/>
      <c r="J107" s="4"/>
      <c r="K107" s="4">
        <v>226</v>
      </c>
      <c r="L107" s="4">
        <v>5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4">
        <v>50</v>
      </c>
      <c r="B108" s="4">
        <v>0</v>
      </c>
      <c r="C108" s="4">
        <v>0</v>
      </c>
      <c r="D108" s="4">
        <v>1</v>
      </c>
      <c r="E108" s="4">
        <v>227</v>
      </c>
      <c r="F108" s="4">
        <f>ROUND(Source!AX101,O108)</f>
        <v>0</v>
      </c>
      <c r="G108" s="4" t="s">
        <v>89</v>
      </c>
      <c r="H108" s="4" t="s">
        <v>90</v>
      </c>
      <c r="I108" s="4"/>
      <c r="J108" s="4"/>
      <c r="K108" s="4">
        <v>227</v>
      </c>
      <c r="L108" s="4">
        <v>6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4">
        <v>50</v>
      </c>
      <c r="B109" s="4">
        <v>0</v>
      </c>
      <c r="C109" s="4">
        <v>0</v>
      </c>
      <c r="D109" s="4">
        <v>1</v>
      </c>
      <c r="E109" s="4">
        <v>228</v>
      </c>
      <c r="F109" s="4">
        <f>ROUND(Source!AY101,O109)</f>
        <v>1790131.57</v>
      </c>
      <c r="G109" s="4" t="s">
        <v>91</v>
      </c>
      <c r="H109" s="4" t="s">
        <v>92</v>
      </c>
      <c r="I109" s="4"/>
      <c r="J109" s="4"/>
      <c r="K109" s="4">
        <v>228</v>
      </c>
      <c r="L109" s="4">
        <v>7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ht="12.75">
      <c r="A110" s="4">
        <v>50</v>
      </c>
      <c r="B110" s="4">
        <v>0</v>
      </c>
      <c r="C110" s="4">
        <v>0</v>
      </c>
      <c r="D110" s="4">
        <v>1</v>
      </c>
      <c r="E110" s="4">
        <v>216</v>
      </c>
      <c r="F110" s="4">
        <f>ROUND(Source!AP101,O110)</f>
        <v>0</v>
      </c>
      <c r="G110" s="4" t="s">
        <v>93</v>
      </c>
      <c r="H110" s="4" t="s">
        <v>94</v>
      </c>
      <c r="I110" s="4"/>
      <c r="J110" s="4"/>
      <c r="K110" s="4">
        <v>216</v>
      </c>
      <c r="L110" s="4">
        <v>8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ht="12.75">
      <c r="A111" s="4">
        <v>50</v>
      </c>
      <c r="B111" s="4">
        <v>0</v>
      </c>
      <c r="C111" s="4">
        <v>0</v>
      </c>
      <c r="D111" s="4">
        <v>1</v>
      </c>
      <c r="E111" s="4">
        <v>223</v>
      </c>
      <c r="F111" s="4">
        <f>ROUND(Source!AQ101,O111)</f>
        <v>0</v>
      </c>
      <c r="G111" s="4" t="s">
        <v>95</v>
      </c>
      <c r="H111" s="4" t="s">
        <v>96</v>
      </c>
      <c r="I111" s="4"/>
      <c r="J111" s="4"/>
      <c r="K111" s="4">
        <v>223</v>
      </c>
      <c r="L111" s="4">
        <v>9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ht="12.75">
      <c r="A112" s="4">
        <v>50</v>
      </c>
      <c r="B112" s="4">
        <v>0</v>
      </c>
      <c r="C112" s="4">
        <v>0</v>
      </c>
      <c r="D112" s="4">
        <v>1</v>
      </c>
      <c r="E112" s="4">
        <v>229</v>
      </c>
      <c r="F112" s="4">
        <f>ROUND(Source!AZ101,O112)</f>
        <v>0</v>
      </c>
      <c r="G112" s="4" t="s">
        <v>97</v>
      </c>
      <c r="H112" s="4" t="s">
        <v>98</v>
      </c>
      <c r="I112" s="4"/>
      <c r="J112" s="4"/>
      <c r="K112" s="4">
        <v>229</v>
      </c>
      <c r="L112" s="4">
        <v>10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 ht="12.75">
      <c r="A113" s="4">
        <v>50</v>
      </c>
      <c r="B113" s="4">
        <v>0</v>
      </c>
      <c r="C113" s="4">
        <v>0</v>
      </c>
      <c r="D113" s="4">
        <v>1</v>
      </c>
      <c r="E113" s="4">
        <v>203</v>
      </c>
      <c r="F113" s="4">
        <f>ROUND(Source!Q101,O113)</f>
        <v>68780.96</v>
      </c>
      <c r="G113" s="4" t="s">
        <v>99</v>
      </c>
      <c r="H113" s="4" t="s">
        <v>100</v>
      </c>
      <c r="I113" s="4"/>
      <c r="J113" s="4"/>
      <c r="K113" s="4">
        <v>203</v>
      </c>
      <c r="L113" s="4">
        <v>11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4">
        <v>50</v>
      </c>
      <c r="B114" s="4">
        <v>0</v>
      </c>
      <c r="C114" s="4">
        <v>0</v>
      </c>
      <c r="D114" s="4">
        <v>1</v>
      </c>
      <c r="E114" s="4">
        <v>231</v>
      </c>
      <c r="F114" s="4">
        <f>ROUND(Source!BB101,O114)</f>
        <v>0</v>
      </c>
      <c r="G114" s="4" t="s">
        <v>101</v>
      </c>
      <c r="H114" s="4" t="s">
        <v>102</v>
      </c>
      <c r="I114" s="4"/>
      <c r="J114" s="4"/>
      <c r="K114" s="4">
        <v>231</v>
      </c>
      <c r="L114" s="4">
        <v>12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4">
        <v>50</v>
      </c>
      <c r="B115" s="4">
        <v>0</v>
      </c>
      <c r="C115" s="4">
        <v>0</v>
      </c>
      <c r="D115" s="4">
        <v>1</v>
      </c>
      <c r="E115" s="4">
        <v>204</v>
      </c>
      <c r="F115" s="4">
        <f>ROUND(Source!R101,O115)</f>
        <v>7617.73</v>
      </c>
      <c r="G115" s="4" t="s">
        <v>103</v>
      </c>
      <c r="H115" s="4" t="s">
        <v>104</v>
      </c>
      <c r="I115" s="4"/>
      <c r="J115" s="4"/>
      <c r="K115" s="4">
        <v>204</v>
      </c>
      <c r="L115" s="4">
        <v>13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4">
        <v>50</v>
      </c>
      <c r="B116" s="4">
        <v>0</v>
      </c>
      <c r="C116" s="4">
        <v>0</v>
      </c>
      <c r="D116" s="4">
        <v>1</v>
      </c>
      <c r="E116" s="4">
        <v>205</v>
      </c>
      <c r="F116" s="4">
        <f>ROUND(Source!S101,O116)</f>
        <v>496214.52</v>
      </c>
      <c r="G116" s="4" t="s">
        <v>105</v>
      </c>
      <c r="H116" s="4" t="s">
        <v>106</v>
      </c>
      <c r="I116" s="4"/>
      <c r="J116" s="4"/>
      <c r="K116" s="4">
        <v>205</v>
      </c>
      <c r="L116" s="4">
        <v>14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 ht="12.75">
      <c r="A117" s="4">
        <v>50</v>
      </c>
      <c r="B117" s="4">
        <v>0</v>
      </c>
      <c r="C117" s="4">
        <v>0</v>
      </c>
      <c r="D117" s="4">
        <v>1</v>
      </c>
      <c r="E117" s="4">
        <v>232</v>
      </c>
      <c r="F117" s="4">
        <f>ROUND(Source!BC101,O117)</f>
        <v>0</v>
      </c>
      <c r="G117" s="4" t="s">
        <v>107</v>
      </c>
      <c r="H117" s="4" t="s">
        <v>108</v>
      </c>
      <c r="I117" s="4"/>
      <c r="J117" s="4"/>
      <c r="K117" s="4">
        <v>232</v>
      </c>
      <c r="L117" s="4">
        <v>15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 ht="12.75">
      <c r="A118" s="4">
        <v>50</v>
      </c>
      <c r="B118" s="4">
        <v>0</v>
      </c>
      <c r="C118" s="4">
        <v>0</v>
      </c>
      <c r="D118" s="4">
        <v>1</v>
      </c>
      <c r="E118" s="4">
        <v>214</v>
      </c>
      <c r="F118" s="4">
        <f>ROUND(Source!AS101,O118)</f>
        <v>3059662.39</v>
      </c>
      <c r="G118" s="4" t="s">
        <v>109</v>
      </c>
      <c r="H118" s="4" t="s">
        <v>110</v>
      </c>
      <c r="I118" s="4"/>
      <c r="J118" s="4"/>
      <c r="K118" s="4">
        <v>214</v>
      </c>
      <c r="L118" s="4">
        <v>16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3" ht="12.75">
      <c r="A119" s="4">
        <v>50</v>
      </c>
      <c r="B119" s="4">
        <v>0</v>
      </c>
      <c r="C119" s="4">
        <v>0</v>
      </c>
      <c r="D119" s="4">
        <v>1</v>
      </c>
      <c r="E119" s="4">
        <v>215</v>
      </c>
      <c r="F119" s="4">
        <f>ROUND(Source!AT101,O119)</f>
        <v>890.57</v>
      </c>
      <c r="G119" s="4" t="s">
        <v>111</v>
      </c>
      <c r="H119" s="4" t="s">
        <v>112</v>
      </c>
      <c r="I119" s="4"/>
      <c r="J119" s="4"/>
      <c r="K119" s="4">
        <v>215</v>
      </c>
      <c r="L119" s="4">
        <v>17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3" ht="12.75">
      <c r="A120" s="4">
        <v>50</v>
      </c>
      <c r="B120" s="4">
        <v>0</v>
      </c>
      <c r="C120" s="4">
        <v>0</v>
      </c>
      <c r="D120" s="4">
        <v>1</v>
      </c>
      <c r="E120" s="4">
        <v>217</v>
      </c>
      <c r="F120" s="4">
        <f>ROUND(Source!AU101,O120)</f>
        <v>109350.42</v>
      </c>
      <c r="G120" s="4" t="s">
        <v>113</v>
      </c>
      <c r="H120" s="4" t="s">
        <v>114</v>
      </c>
      <c r="I120" s="4"/>
      <c r="J120" s="4"/>
      <c r="K120" s="4">
        <v>217</v>
      </c>
      <c r="L120" s="4">
        <v>18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3" ht="12.75">
      <c r="A121" s="4">
        <v>50</v>
      </c>
      <c r="B121" s="4">
        <v>0</v>
      </c>
      <c r="C121" s="4">
        <v>0</v>
      </c>
      <c r="D121" s="4">
        <v>1</v>
      </c>
      <c r="E121" s="4">
        <v>230</v>
      </c>
      <c r="F121" s="4">
        <f>ROUND(Source!BA101,O121)</f>
        <v>0</v>
      </c>
      <c r="G121" s="4" t="s">
        <v>115</v>
      </c>
      <c r="H121" s="4" t="s">
        <v>116</v>
      </c>
      <c r="I121" s="4"/>
      <c r="J121" s="4"/>
      <c r="K121" s="4">
        <v>230</v>
      </c>
      <c r="L121" s="4">
        <v>19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3" ht="12.75">
      <c r="A122" s="4">
        <v>50</v>
      </c>
      <c r="B122" s="4">
        <v>0</v>
      </c>
      <c r="C122" s="4">
        <v>0</v>
      </c>
      <c r="D122" s="4">
        <v>1</v>
      </c>
      <c r="E122" s="4">
        <v>206</v>
      </c>
      <c r="F122" s="4">
        <f>ROUND(Source!T101,O122)</f>
        <v>0</v>
      </c>
      <c r="G122" s="4" t="s">
        <v>117</v>
      </c>
      <c r="H122" s="4" t="s">
        <v>118</v>
      </c>
      <c r="I122" s="4"/>
      <c r="J122" s="4"/>
      <c r="K122" s="4">
        <v>206</v>
      </c>
      <c r="L122" s="4">
        <v>20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3" ht="12.75">
      <c r="A123" s="4">
        <v>50</v>
      </c>
      <c r="B123" s="4">
        <v>0</v>
      </c>
      <c r="C123" s="4">
        <v>0</v>
      </c>
      <c r="D123" s="4">
        <v>1</v>
      </c>
      <c r="E123" s="4">
        <v>207</v>
      </c>
      <c r="F123" s="4">
        <f>Source!U101</f>
        <v>2930.2270624999996</v>
      </c>
      <c r="G123" s="4" t="s">
        <v>119</v>
      </c>
      <c r="H123" s="4" t="s">
        <v>120</v>
      </c>
      <c r="I123" s="4"/>
      <c r="J123" s="4"/>
      <c r="K123" s="4">
        <v>207</v>
      </c>
      <c r="L123" s="4">
        <v>21</v>
      </c>
      <c r="M123" s="4">
        <v>3</v>
      </c>
      <c r="N123" s="4" t="s">
        <v>3</v>
      </c>
      <c r="O123" s="4">
        <v>-1</v>
      </c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4">
        <v>50</v>
      </c>
      <c r="B124" s="4">
        <v>0</v>
      </c>
      <c r="C124" s="4">
        <v>0</v>
      </c>
      <c r="D124" s="4">
        <v>1</v>
      </c>
      <c r="E124" s="4">
        <v>208</v>
      </c>
      <c r="F124" s="4">
        <f>Source!V101</f>
        <v>31.624999999999996</v>
      </c>
      <c r="G124" s="4" t="s">
        <v>121</v>
      </c>
      <c r="H124" s="4" t="s">
        <v>122</v>
      </c>
      <c r="I124" s="4"/>
      <c r="J124" s="4"/>
      <c r="K124" s="4">
        <v>208</v>
      </c>
      <c r="L124" s="4">
        <v>22</v>
      </c>
      <c r="M124" s="4">
        <v>3</v>
      </c>
      <c r="N124" s="4" t="s">
        <v>3</v>
      </c>
      <c r="O124" s="4">
        <v>-1</v>
      </c>
      <c r="P124" s="4"/>
      <c r="Q124" s="4"/>
      <c r="R124" s="4"/>
      <c r="S124" s="4"/>
      <c r="T124" s="4"/>
      <c r="U124" s="4"/>
      <c r="V124" s="4"/>
      <c r="W124" s="4"/>
    </row>
    <row r="125" spans="1:23" ht="12.75">
      <c r="A125" s="4">
        <v>50</v>
      </c>
      <c r="B125" s="4">
        <v>0</v>
      </c>
      <c r="C125" s="4">
        <v>0</v>
      </c>
      <c r="D125" s="4">
        <v>1</v>
      </c>
      <c r="E125" s="4">
        <v>209</v>
      </c>
      <c r="F125" s="4">
        <f>ROUND(Source!W101,O125)</f>
        <v>0</v>
      </c>
      <c r="G125" s="4" t="s">
        <v>123</v>
      </c>
      <c r="H125" s="4" t="s">
        <v>124</v>
      </c>
      <c r="I125" s="4"/>
      <c r="J125" s="4"/>
      <c r="K125" s="4">
        <v>209</v>
      </c>
      <c r="L125" s="4">
        <v>23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4">
        <v>50</v>
      </c>
      <c r="B126" s="4">
        <v>0</v>
      </c>
      <c r="C126" s="4">
        <v>0</v>
      </c>
      <c r="D126" s="4">
        <v>1</v>
      </c>
      <c r="E126" s="4">
        <v>210</v>
      </c>
      <c r="F126" s="4">
        <f>ROUND(Source!X101,O126)</f>
        <v>532855.04</v>
      </c>
      <c r="G126" s="4" t="s">
        <v>125</v>
      </c>
      <c r="H126" s="4" t="s">
        <v>126</v>
      </c>
      <c r="I126" s="4"/>
      <c r="J126" s="4"/>
      <c r="K126" s="4">
        <v>210</v>
      </c>
      <c r="L126" s="4">
        <v>24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4">
        <v>50</v>
      </c>
      <c r="B127" s="4">
        <v>0</v>
      </c>
      <c r="C127" s="4">
        <v>0</v>
      </c>
      <c r="D127" s="4">
        <v>1</v>
      </c>
      <c r="E127" s="4">
        <v>211</v>
      </c>
      <c r="F127" s="4">
        <f>ROUND(Source!Y101,O127)</f>
        <v>281921.29</v>
      </c>
      <c r="G127" s="4" t="s">
        <v>127</v>
      </c>
      <c r="H127" s="4" t="s">
        <v>128</v>
      </c>
      <c r="I127" s="4"/>
      <c r="J127" s="4"/>
      <c r="K127" s="4">
        <v>211</v>
      </c>
      <c r="L127" s="4">
        <v>25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3" ht="12.75">
      <c r="A128" s="4">
        <v>50</v>
      </c>
      <c r="B128" s="4">
        <v>0</v>
      </c>
      <c r="C128" s="4">
        <v>0</v>
      </c>
      <c r="D128" s="4">
        <v>1</v>
      </c>
      <c r="E128" s="4">
        <v>224</v>
      </c>
      <c r="F128" s="4">
        <f>ROUND(Source!AR101,O128)</f>
        <v>3169903.38</v>
      </c>
      <c r="G128" s="4" t="s">
        <v>129</v>
      </c>
      <c r="H128" s="4" t="s">
        <v>130</v>
      </c>
      <c r="I128" s="4"/>
      <c r="J128" s="4"/>
      <c r="K128" s="4">
        <v>224</v>
      </c>
      <c r="L128" s="4">
        <v>26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ht="12.75">
      <c r="A129" s="4">
        <v>50</v>
      </c>
      <c r="B129" s="4">
        <v>1</v>
      </c>
      <c r="C129" s="4">
        <v>0</v>
      </c>
      <c r="D129" s="4">
        <v>2</v>
      </c>
      <c r="E129" s="4">
        <v>50227437</v>
      </c>
      <c r="F129" s="4">
        <f>ROUND((F107+(F113-F115)+F126*0.1712+F127*0.15)*0.18,O129)</f>
        <v>357265.4</v>
      </c>
      <c r="G129" s="4" t="s">
        <v>263</v>
      </c>
      <c r="H129" s="4" t="s">
        <v>264</v>
      </c>
      <c r="I129" s="4"/>
      <c r="J129" s="4"/>
      <c r="K129" s="4">
        <v>212</v>
      </c>
      <c r="L129" s="4">
        <v>27</v>
      </c>
      <c r="M129" s="4">
        <v>1</v>
      </c>
      <c r="N129" s="4" t="s">
        <v>3</v>
      </c>
      <c r="O129" s="4">
        <v>3</v>
      </c>
      <c r="P129" s="4"/>
      <c r="Q129" s="4"/>
      <c r="R129" s="4"/>
      <c r="S129" s="4"/>
      <c r="T129" s="4"/>
      <c r="U129" s="4"/>
      <c r="V129" s="4"/>
      <c r="W129" s="4"/>
    </row>
    <row r="130" spans="1:23" ht="12.75">
      <c r="A130" s="4">
        <v>50</v>
      </c>
      <c r="B130" s="4">
        <v>1</v>
      </c>
      <c r="C130" s="4">
        <v>0</v>
      </c>
      <c r="D130" s="4">
        <v>2</v>
      </c>
      <c r="E130" s="4">
        <v>213</v>
      </c>
      <c r="F130" s="4">
        <f>ROUND(F128+F129,O130)</f>
        <v>3527168.78</v>
      </c>
      <c r="G130" s="4" t="s">
        <v>265</v>
      </c>
      <c r="H130" s="4" t="s">
        <v>266</v>
      </c>
      <c r="I130" s="4"/>
      <c r="J130" s="4"/>
      <c r="K130" s="4">
        <v>212</v>
      </c>
      <c r="L130" s="4">
        <v>28</v>
      </c>
      <c r="M130" s="4">
        <v>1</v>
      </c>
      <c r="N130" s="4" t="s">
        <v>3</v>
      </c>
      <c r="O130" s="4">
        <v>3</v>
      </c>
      <c r="P130" s="4"/>
      <c r="Q130" s="4"/>
      <c r="R130" s="4"/>
      <c r="S130" s="4"/>
      <c r="T130" s="4"/>
      <c r="U130" s="4"/>
      <c r="V130" s="4"/>
      <c r="W130" s="4"/>
    </row>
    <row r="132" spans="1:88" ht="12.75">
      <c r="A132" s="1">
        <v>5</v>
      </c>
      <c r="B132" s="1">
        <v>1</v>
      </c>
      <c r="C132" s="1"/>
      <c r="D132" s="1">
        <f>ROW(A145)</f>
        <v>145</v>
      </c>
      <c r="E132" s="1"/>
      <c r="F132" s="1" t="s">
        <v>132</v>
      </c>
      <c r="G132" s="1" t="s">
        <v>267</v>
      </c>
      <c r="H132" s="1" t="s">
        <v>3</v>
      </c>
      <c r="I132" s="1">
        <v>0</v>
      </c>
      <c r="J132" s="1"/>
      <c r="K132" s="1"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 t="s">
        <v>3</v>
      </c>
      <c r="V132" s="1">
        <v>0</v>
      </c>
      <c r="W132" s="1"/>
      <c r="X132" s="1"/>
      <c r="Y132" s="1"/>
      <c r="Z132" s="1"/>
      <c r="AA132" s="1"/>
      <c r="AB132" s="1" t="s">
        <v>3</v>
      </c>
      <c r="AC132" s="1" t="s">
        <v>3</v>
      </c>
      <c r="AD132" s="1" t="s">
        <v>3</v>
      </c>
      <c r="AE132" s="1" t="s">
        <v>3</v>
      </c>
      <c r="AF132" s="1" t="s">
        <v>3</v>
      </c>
      <c r="AG132" s="1" t="s">
        <v>3</v>
      </c>
      <c r="AH132" s="1"/>
      <c r="AI132" s="1"/>
      <c r="AJ132" s="1"/>
      <c r="AK132" s="1"/>
      <c r="AL132" s="1"/>
      <c r="AM132" s="1"/>
      <c r="AN132" s="1"/>
      <c r="AO132" s="1"/>
      <c r="AP132" s="1" t="s">
        <v>3</v>
      </c>
      <c r="AQ132" s="1" t="s">
        <v>3</v>
      </c>
      <c r="AR132" s="1" t="s">
        <v>3</v>
      </c>
      <c r="AS132" s="1"/>
      <c r="AT132" s="1"/>
      <c r="AU132" s="1"/>
      <c r="AV132" s="1"/>
      <c r="AW132" s="1"/>
      <c r="AX132" s="1"/>
      <c r="AY132" s="1"/>
      <c r="AZ132" s="1" t="s">
        <v>3</v>
      </c>
      <c r="BA132" s="1"/>
      <c r="BB132" s="1" t="s">
        <v>3</v>
      </c>
      <c r="BC132" s="1" t="s">
        <v>3</v>
      </c>
      <c r="BD132" s="1" t="s">
        <v>3</v>
      </c>
      <c r="BE132" s="1" t="s">
        <v>3</v>
      </c>
      <c r="BF132" s="1" t="s">
        <v>3</v>
      </c>
      <c r="BG132" s="1" t="s">
        <v>3</v>
      </c>
      <c r="BH132" s="1" t="s">
        <v>3</v>
      </c>
      <c r="BI132" s="1" t="s">
        <v>3</v>
      </c>
      <c r="BJ132" s="1" t="s">
        <v>3</v>
      </c>
      <c r="BK132" s="1" t="s">
        <v>3</v>
      </c>
      <c r="BL132" s="1" t="s">
        <v>3</v>
      </c>
      <c r="BM132" s="1" t="s">
        <v>3</v>
      </c>
      <c r="BN132" s="1" t="s">
        <v>3</v>
      </c>
      <c r="BO132" s="1" t="s">
        <v>3</v>
      </c>
      <c r="BP132" s="1" t="s">
        <v>3</v>
      </c>
      <c r="BQ132" s="1"/>
      <c r="BR132" s="1"/>
      <c r="BS132" s="1"/>
      <c r="BT132" s="1"/>
      <c r="BU132" s="1"/>
      <c r="BV132" s="1"/>
      <c r="BW132" s="1"/>
      <c r="BX132" s="1">
        <v>0</v>
      </c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>
        <v>0</v>
      </c>
    </row>
    <row r="134" spans="1:206" ht="12.75">
      <c r="A134" s="2">
        <v>52</v>
      </c>
      <c r="B134" s="2">
        <f aca="true" t="shared" si="112" ref="B134:G134">B145</f>
        <v>1</v>
      </c>
      <c r="C134" s="2">
        <f t="shared" si="112"/>
        <v>5</v>
      </c>
      <c r="D134" s="2">
        <f t="shared" si="112"/>
        <v>132</v>
      </c>
      <c r="E134" s="2">
        <f t="shared" si="112"/>
        <v>0</v>
      </c>
      <c r="F134" s="2" t="str">
        <f t="shared" si="112"/>
        <v>Новый подраздел</v>
      </c>
      <c r="G134" s="2" t="str">
        <f t="shared" si="112"/>
        <v>2.2.  Перекрытие</v>
      </c>
      <c r="H134" s="2"/>
      <c r="I134" s="2"/>
      <c r="J134" s="2"/>
      <c r="K134" s="2"/>
      <c r="L134" s="2"/>
      <c r="M134" s="2"/>
      <c r="N134" s="2"/>
      <c r="O134" s="2">
        <f aca="true" t="shared" si="113" ref="O134:AT134">O145</f>
        <v>1061562.58</v>
      </c>
      <c r="P134" s="2">
        <f t="shared" si="113"/>
        <v>742317.05</v>
      </c>
      <c r="Q134" s="2">
        <f t="shared" si="113"/>
        <v>19083.95</v>
      </c>
      <c r="R134" s="2">
        <f t="shared" si="113"/>
        <v>1898.35</v>
      </c>
      <c r="S134" s="2">
        <f t="shared" si="113"/>
        <v>300161.58</v>
      </c>
      <c r="T134" s="2">
        <f t="shared" si="113"/>
        <v>0</v>
      </c>
      <c r="U134" s="2">
        <f t="shared" si="113"/>
        <v>1859.1791249999997</v>
      </c>
      <c r="V134" s="2">
        <f t="shared" si="113"/>
        <v>7.878125</v>
      </c>
      <c r="W134" s="2">
        <f t="shared" si="113"/>
        <v>0</v>
      </c>
      <c r="X134" s="2">
        <f t="shared" si="113"/>
        <v>304806.53</v>
      </c>
      <c r="Y134" s="2">
        <f t="shared" si="113"/>
        <v>185229.47</v>
      </c>
      <c r="Z134" s="2">
        <f t="shared" si="113"/>
        <v>0</v>
      </c>
      <c r="AA134" s="2">
        <f t="shared" si="113"/>
        <v>0</v>
      </c>
      <c r="AB134" s="2">
        <f t="shared" si="113"/>
        <v>1061562.58</v>
      </c>
      <c r="AC134" s="2">
        <f t="shared" si="113"/>
        <v>742317.05</v>
      </c>
      <c r="AD134" s="2">
        <f t="shared" si="113"/>
        <v>19083.95</v>
      </c>
      <c r="AE134" s="2">
        <f t="shared" si="113"/>
        <v>1898.35</v>
      </c>
      <c r="AF134" s="2">
        <f t="shared" si="113"/>
        <v>300161.58</v>
      </c>
      <c r="AG134" s="2">
        <f t="shared" si="113"/>
        <v>0</v>
      </c>
      <c r="AH134" s="2">
        <f t="shared" si="113"/>
        <v>1859.1791249999997</v>
      </c>
      <c r="AI134" s="2">
        <f t="shared" si="113"/>
        <v>7.878125</v>
      </c>
      <c r="AJ134" s="2">
        <f t="shared" si="113"/>
        <v>0</v>
      </c>
      <c r="AK134" s="2">
        <f t="shared" si="113"/>
        <v>304806.53</v>
      </c>
      <c r="AL134" s="2">
        <f t="shared" si="113"/>
        <v>185229.47</v>
      </c>
      <c r="AM134" s="2">
        <f t="shared" si="113"/>
        <v>0</v>
      </c>
      <c r="AN134" s="2">
        <f t="shared" si="113"/>
        <v>0</v>
      </c>
      <c r="AO134" s="2">
        <f t="shared" si="113"/>
        <v>0</v>
      </c>
      <c r="AP134" s="2">
        <f t="shared" si="113"/>
        <v>0</v>
      </c>
      <c r="AQ134" s="2">
        <f t="shared" si="113"/>
        <v>0</v>
      </c>
      <c r="AR134" s="2">
        <f t="shared" si="113"/>
        <v>1551598.58</v>
      </c>
      <c r="AS134" s="2">
        <f t="shared" si="113"/>
        <v>1434175.71</v>
      </c>
      <c r="AT134" s="2">
        <f t="shared" si="113"/>
        <v>0</v>
      </c>
      <c r="AU134" s="2">
        <f aca="true" t="shared" si="114" ref="AU134:BZ134">AU145</f>
        <v>117422.87</v>
      </c>
      <c r="AV134" s="2">
        <f t="shared" si="114"/>
        <v>742317.05</v>
      </c>
      <c r="AW134" s="2">
        <f t="shared" si="114"/>
        <v>742317.05</v>
      </c>
      <c r="AX134" s="2">
        <f t="shared" si="114"/>
        <v>0</v>
      </c>
      <c r="AY134" s="2">
        <f t="shared" si="114"/>
        <v>742317.05</v>
      </c>
      <c r="AZ134" s="2">
        <f t="shared" si="114"/>
        <v>0</v>
      </c>
      <c r="BA134" s="2">
        <f t="shared" si="114"/>
        <v>0</v>
      </c>
      <c r="BB134" s="2">
        <f t="shared" si="114"/>
        <v>0</v>
      </c>
      <c r="BC134" s="2">
        <f t="shared" si="114"/>
        <v>0</v>
      </c>
      <c r="BD134" s="2">
        <f t="shared" si="114"/>
        <v>0</v>
      </c>
      <c r="BE134" s="2">
        <f t="shared" si="114"/>
        <v>0</v>
      </c>
      <c r="BF134" s="2">
        <f t="shared" si="114"/>
        <v>0</v>
      </c>
      <c r="BG134" s="2">
        <f t="shared" si="114"/>
        <v>0</v>
      </c>
      <c r="BH134" s="2">
        <f t="shared" si="114"/>
        <v>0</v>
      </c>
      <c r="BI134" s="2">
        <f t="shared" si="114"/>
        <v>0</v>
      </c>
      <c r="BJ134" s="2">
        <f t="shared" si="114"/>
        <v>0</v>
      </c>
      <c r="BK134" s="2">
        <f t="shared" si="114"/>
        <v>0</v>
      </c>
      <c r="BL134" s="2">
        <f t="shared" si="114"/>
        <v>0</v>
      </c>
      <c r="BM134" s="2">
        <f t="shared" si="114"/>
        <v>0</v>
      </c>
      <c r="BN134" s="2">
        <f t="shared" si="114"/>
        <v>0</v>
      </c>
      <c r="BO134" s="2">
        <f t="shared" si="114"/>
        <v>0</v>
      </c>
      <c r="BP134" s="2">
        <f t="shared" si="114"/>
        <v>0</v>
      </c>
      <c r="BQ134" s="2">
        <f t="shared" si="114"/>
        <v>0</v>
      </c>
      <c r="BR134" s="2">
        <f t="shared" si="114"/>
        <v>0</v>
      </c>
      <c r="BS134" s="2">
        <f t="shared" si="114"/>
        <v>0</v>
      </c>
      <c r="BT134" s="2">
        <f t="shared" si="114"/>
        <v>0</v>
      </c>
      <c r="BU134" s="2">
        <f t="shared" si="114"/>
        <v>0</v>
      </c>
      <c r="BV134" s="2">
        <f t="shared" si="114"/>
        <v>0</v>
      </c>
      <c r="BW134" s="2">
        <f t="shared" si="114"/>
        <v>0</v>
      </c>
      <c r="BX134" s="2">
        <f t="shared" si="114"/>
        <v>0</v>
      </c>
      <c r="BY134" s="2">
        <f t="shared" si="114"/>
        <v>0</v>
      </c>
      <c r="BZ134" s="2">
        <f t="shared" si="114"/>
        <v>0</v>
      </c>
      <c r="CA134" s="2">
        <f aca="true" t="shared" si="115" ref="CA134:DF134">CA145</f>
        <v>1551598.58</v>
      </c>
      <c r="CB134" s="2">
        <f t="shared" si="115"/>
        <v>1434175.71</v>
      </c>
      <c r="CC134" s="2">
        <f t="shared" si="115"/>
        <v>0</v>
      </c>
      <c r="CD134" s="2">
        <f t="shared" si="115"/>
        <v>117422.87</v>
      </c>
      <c r="CE134" s="2">
        <f t="shared" si="115"/>
        <v>742317.05</v>
      </c>
      <c r="CF134" s="2">
        <f t="shared" si="115"/>
        <v>742317.05</v>
      </c>
      <c r="CG134" s="2">
        <f t="shared" si="115"/>
        <v>0</v>
      </c>
      <c r="CH134" s="2">
        <f t="shared" si="115"/>
        <v>742317.05</v>
      </c>
      <c r="CI134" s="2">
        <f t="shared" si="115"/>
        <v>0</v>
      </c>
      <c r="CJ134" s="2">
        <f t="shared" si="115"/>
        <v>0</v>
      </c>
      <c r="CK134" s="2">
        <f t="shared" si="115"/>
        <v>0</v>
      </c>
      <c r="CL134" s="2">
        <f t="shared" si="115"/>
        <v>0</v>
      </c>
      <c r="CM134" s="2">
        <f t="shared" si="115"/>
        <v>0</v>
      </c>
      <c r="CN134" s="2">
        <f t="shared" si="115"/>
        <v>0</v>
      </c>
      <c r="CO134" s="2">
        <f t="shared" si="115"/>
        <v>0</v>
      </c>
      <c r="CP134" s="2">
        <f t="shared" si="115"/>
        <v>0</v>
      </c>
      <c r="CQ134" s="2">
        <f t="shared" si="115"/>
        <v>0</v>
      </c>
      <c r="CR134" s="2">
        <f t="shared" si="115"/>
        <v>0</v>
      </c>
      <c r="CS134" s="2">
        <f t="shared" si="115"/>
        <v>0</v>
      </c>
      <c r="CT134" s="2">
        <f t="shared" si="115"/>
        <v>0</v>
      </c>
      <c r="CU134" s="2">
        <f t="shared" si="115"/>
        <v>0</v>
      </c>
      <c r="CV134" s="2">
        <f t="shared" si="115"/>
        <v>0</v>
      </c>
      <c r="CW134" s="2">
        <f t="shared" si="115"/>
        <v>0</v>
      </c>
      <c r="CX134" s="2">
        <f t="shared" si="115"/>
        <v>0</v>
      </c>
      <c r="CY134" s="2">
        <f t="shared" si="115"/>
        <v>0</v>
      </c>
      <c r="CZ134" s="2">
        <f t="shared" si="115"/>
        <v>0</v>
      </c>
      <c r="DA134" s="2">
        <f t="shared" si="115"/>
        <v>0</v>
      </c>
      <c r="DB134" s="2">
        <f t="shared" si="115"/>
        <v>0</v>
      </c>
      <c r="DC134" s="2">
        <f t="shared" si="115"/>
        <v>0</v>
      </c>
      <c r="DD134" s="2">
        <f t="shared" si="115"/>
        <v>0</v>
      </c>
      <c r="DE134" s="2">
        <f t="shared" si="115"/>
        <v>0</v>
      </c>
      <c r="DF134" s="2">
        <f t="shared" si="115"/>
        <v>0</v>
      </c>
      <c r="DG134" s="3">
        <f aca="true" t="shared" si="116" ref="DG134:EL134">DG145</f>
        <v>0</v>
      </c>
      <c r="DH134" s="3">
        <f t="shared" si="116"/>
        <v>0</v>
      </c>
      <c r="DI134" s="3">
        <f t="shared" si="116"/>
        <v>0</v>
      </c>
      <c r="DJ134" s="3">
        <f t="shared" si="116"/>
        <v>0</v>
      </c>
      <c r="DK134" s="3">
        <f t="shared" si="116"/>
        <v>0</v>
      </c>
      <c r="DL134" s="3">
        <f t="shared" si="116"/>
        <v>0</v>
      </c>
      <c r="DM134" s="3">
        <f t="shared" si="116"/>
        <v>0</v>
      </c>
      <c r="DN134" s="3">
        <f t="shared" si="116"/>
        <v>0</v>
      </c>
      <c r="DO134" s="3">
        <f t="shared" si="116"/>
        <v>0</v>
      </c>
      <c r="DP134" s="3">
        <f t="shared" si="116"/>
        <v>0</v>
      </c>
      <c r="DQ134" s="3">
        <f t="shared" si="116"/>
        <v>0</v>
      </c>
      <c r="DR134" s="3">
        <f t="shared" si="116"/>
        <v>0</v>
      </c>
      <c r="DS134" s="3">
        <f t="shared" si="116"/>
        <v>0</v>
      </c>
      <c r="DT134" s="3">
        <f t="shared" si="116"/>
        <v>0</v>
      </c>
      <c r="DU134" s="3">
        <f t="shared" si="116"/>
        <v>0</v>
      </c>
      <c r="DV134" s="3">
        <f t="shared" si="116"/>
        <v>0</v>
      </c>
      <c r="DW134" s="3">
        <f t="shared" si="116"/>
        <v>0</v>
      </c>
      <c r="DX134" s="3">
        <f t="shared" si="116"/>
        <v>0</v>
      </c>
      <c r="DY134" s="3">
        <f t="shared" si="116"/>
        <v>0</v>
      </c>
      <c r="DZ134" s="3">
        <f t="shared" si="116"/>
        <v>0</v>
      </c>
      <c r="EA134" s="3">
        <f t="shared" si="116"/>
        <v>0</v>
      </c>
      <c r="EB134" s="3">
        <f t="shared" si="116"/>
        <v>0</v>
      </c>
      <c r="EC134" s="3">
        <f t="shared" si="116"/>
        <v>0</v>
      </c>
      <c r="ED134" s="3">
        <f t="shared" si="116"/>
        <v>0</v>
      </c>
      <c r="EE134" s="3">
        <f t="shared" si="116"/>
        <v>0</v>
      </c>
      <c r="EF134" s="3">
        <f t="shared" si="116"/>
        <v>0</v>
      </c>
      <c r="EG134" s="3">
        <f t="shared" si="116"/>
        <v>0</v>
      </c>
      <c r="EH134" s="3">
        <f t="shared" si="116"/>
        <v>0</v>
      </c>
      <c r="EI134" s="3">
        <f t="shared" si="116"/>
        <v>0</v>
      </c>
      <c r="EJ134" s="3">
        <f t="shared" si="116"/>
        <v>0</v>
      </c>
      <c r="EK134" s="3">
        <f t="shared" si="116"/>
        <v>0</v>
      </c>
      <c r="EL134" s="3">
        <f t="shared" si="116"/>
        <v>0</v>
      </c>
      <c r="EM134" s="3">
        <f aca="true" t="shared" si="117" ref="EM134:FR134">EM145</f>
        <v>0</v>
      </c>
      <c r="EN134" s="3">
        <f t="shared" si="117"/>
        <v>0</v>
      </c>
      <c r="EO134" s="3">
        <f t="shared" si="117"/>
        <v>0</v>
      </c>
      <c r="EP134" s="3">
        <f t="shared" si="117"/>
        <v>0</v>
      </c>
      <c r="EQ134" s="3">
        <f t="shared" si="117"/>
        <v>0</v>
      </c>
      <c r="ER134" s="3">
        <f t="shared" si="117"/>
        <v>0</v>
      </c>
      <c r="ES134" s="3">
        <f t="shared" si="117"/>
        <v>0</v>
      </c>
      <c r="ET134" s="3">
        <f t="shared" si="117"/>
        <v>0</v>
      </c>
      <c r="EU134" s="3">
        <f t="shared" si="117"/>
        <v>0</v>
      </c>
      <c r="EV134" s="3">
        <f t="shared" si="117"/>
        <v>0</v>
      </c>
      <c r="EW134" s="3">
        <f t="shared" si="117"/>
        <v>0</v>
      </c>
      <c r="EX134" s="3">
        <f t="shared" si="117"/>
        <v>0</v>
      </c>
      <c r="EY134" s="3">
        <f t="shared" si="117"/>
        <v>0</v>
      </c>
      <c r="EZ134" s="3">
        <f t="shared" si="117"/>
        <v>0</v>
      </c>
      <c r="FA134" s="3">
        <f t="shared" si="117"/>
        <v>0</v>
      </c>
      <c r="FB134" s="3">
        <f t="shared" si="117"/>
        <v>0</v>
      </c>
      <c r="FC134" s="3">
        <f t="shared" si="117"/>
        <v>0</v>
      </c>
      <c r="FD134" s="3">
        <f t="shared" si="117"/>
        <v>0</v>
      </c>
      <c r="FE134" s="3">
        <f t="shared" si="117"/>
        <v>0</v>
      </c>
      <c r="FF134" s="3">
        <f t="shared" si="117"/>
        <v>0</v>
      </c>
      <c r="FG134" s="3">
        <f t="shared" si="117"/>
        <v>0</v>
      </c>
      <c r="FH134" s="3">
        <f t="shared" si="117"/>
        <v>0</v>
      </c>
      <c r="FI134" s="3">
        <f t="shared" si="117"/>
        <v>0</v>
      </c>
      <c r="FJ134" s="3">
        <f t="shared" si="117"/>
        <v>0</v>
      </c>
      <c r="FK134" s="3">
        <f t="shared" si="117"/>
        <v>0</v>
      </c>
      <c r="FL134" s="3">
        <f t="shared" si="117"/>
        <v>0</v>
      </c>
      <c r="FM134" s="3">
        <f t="shared" si="117"/>
        <v>0</v>
      </c>
      <c r="FN134" s="3">
        <f t="shared" si="117"/>
        <v>0</v>
      </c>
      <c r="FO134" s="3">
        <f t="shared" si="117"/>
        <v>0</v>
      </c>
      <c r="FP134" s="3">
        <f t="shared" si="117"/>
        <v>0</v>
      </c>
      <c r="FQ134" s="3">
        <f t="shared" si="117"/>
        <v>0</v>
      </c>
      <c r="FR134" s="3">
        <f t="shared" si="117"/>
        <v>0</v>
      </c>
      <c r="FS134" s="3">
        <f aca="true" t="shared" si="118" ref="FS134:GX134">FS145</f>
        <v>0</v>
      </c>
      <c r="FT134" s="3">
        <f t="shared" si="118"/>
        <v>0</v>
      </c>
      <c r="FU134" s="3">
        <f t="shared" si="118"/>
        <v>0</v>
      </c>
      <c r="FV134" s="3">
        <f t="shared" si="118"/>
        <v>0</v>
      </c>
      <c r="FW134" s="3">
        <f t="shared" si="118"/>
        <v>0</v>
      </c>
      <c r="FX134" s="3">
        <f t="shared" si="118"/>
        <v>0</v>
      </c>
      <c r="FY134" s="3">
        <f t="shared" si="118"/>
        <v>0</v>
      </c>
      <c r="FZ134" s="3">
        <f t="shared" si="118"/>
        <v>0</v>
      </c>
      <c r="GA134" s="3">
        <f t="shared" si="118"/>
        <v>0</v>
      </c>
      <c r="GB134" s="3">
        <f t="shared" si="118"/>
        <v>0</v>
      </c>
      <c r="GC134" s="3">
        <f t="shared" si="118"/>
        <v>0</v>
      </c>
      <c r="GD134" s="3">
        <f t="shared" si="118"/>
        <v>0</v>
      </c>
      <c r="GE134" s="3">
        <f t="shared" si="118"/>
        <v>0</v>
      </c>
      <c r="GF134" s="3">
        <f t="shared" si="118"/>
        <v>0</v>
      </c>
      <c r="GG134" s="3">
        <f t="shared" si="118"/>
        <v>0</v>
      </c>
      <c r="GH134" s="3">
        <f t="shared" si="118"/>
        <v>0</v>
      </c>
      <c r="GI134" s="3">
        <f t="shared" si="118"/>
        <v>0</v>
      </c>
      <c r="GJ134" s="3">
        <f t="shared" si="118"/>
        <v>0</v>
      </c>
      <c r="GK134" s="3">
        <f t="shared" si="118"/>
        <v>0</v>
      </c>
      <c r="GL134" s="3">
        <f t="shared" si="118"/>
        <v>0</v>
      </c>
      <c r="GM134" s="3">
        <f t="shared" si="118"/>
        <v>0</v>
      </c>
      <c r="GN134" s="3">
        <f t="shared" si="118"/>
        <v>0</v>
      </c>
      <c r="GO134" s="3">
        <f t="shared" si="118"/>
        <v>0</v>
      </c>
      <c r="GP134" s="3">
        <f t="shared" si="118"/>
        <v>0</v>
      </c>
      <c r="GQ134" s="3">
        <f t="shared" si="118"/>
        <v>0</v>
      </c>
      <c r="GR134" s="3">
        <f t="shared" si="118"/>
        <v>0</v>
      </c>
      <c r="GS134" s="3">
        <f t="shared" si="118"/>
        <v>0</v>
      </c>
      <c r="GT134" s="3">
        <f t="shared" si="118"/>
        <v>0</v>
      </c>
      <c r="GU134" s="3">
        <f t="shared" si="118"/>
        <v>0</v>
      </c>
      <c r="GV134" s="3">
        <f t="shared" si="118"/>
        <v>0</v>
      </c>
      <c r="GW134" s="3">
        <f t="shared" si="118"/>
        <v>0</v>
      </c>
      <c r="GX134" s="3">
        <f t="shared" si="118"/>
        <v>0</v>
      </c>
    </row>
    <row r="136" spans="1:245" ht="12.75">
      <c r="A136">
        <v>17</v>
      </c>
      <c r="B136">
        <v>1</v>
      </c>
      <c r="C136">
        <f>ROW(SmtRes!A138)</f>
        <v>138</v>
      </c>
      <c r="D136">
        <f>ROW(EtalonRes!A131)</f>
        <v>131</v>
      </c>
      <c r="E136" t="s">
        <v>268</v>
      </c>
      <c r="F136" t="s">
        <v>269</v>
      </c>
      <c r="G136" t="s">
        <v>270</v>
      </c>
      <c r="H136" t="s">
        <v>271</v>
      </c>
      <c r="I136">
        <v>6.2</v>
      </c>
      <c r="J136">
        <v>0</v>
      </c>
      <c r="O136">
        <f aca="true" t="shared" si="119" ref="O136:O143">ROUND(CP136,2)</f>
        <v>359363.8</v>
      </c>
      <c r="P136">
        <f aca="true" t="shared" si="120" ref="P136:P143">ROUND(CQ136*I136,2)</f>
        <v>218544.16</v>
      </c>
      <c r="Q136">
        <f aca="true" t="shared" si="121" ref="Q136:Q143">ROUND(CR136*I136,2)</f>
        <v>1685.09</v>
      </c>
      <c r="R136">
        <f aca="true" t="shared" si="122" ref="R136:R143">ROUND(CS136*I136,2)</f>
        <v>0</v>
      </c>
      <c r="S136">
        <f aca="true" t="shared" si="123" ref="S136:S143">ROUND(CT136*I136,2)</f>
        <v>139134.55</v>
      </c>
      <c r="T136">
        <f aca="true" t="shared" si="124" ref="T136:T143">ROUND(CU136*I136,2)</f>
        <v>0</v>
      </c>
      <c r="U136">
        <f aca="true" t="shared" si="125" ref="U136:U143">CV136*I136</f>
        <v>855.06525</v>
      </c>
      <c r="V136">
        <f aca="true" t="shared" si="126" ref="V136:V143">CW136*I136</f>
        <v>0</v>
      </c>
      <c r="W136">
        <f aca="true" t="shared" si="127" ref="W136:W143">ROUND(CX136*I136,2)</f>
        <v>0</v>
      </c>
      <c r="X136">
        <f aca="true" t="shared" si="128" ref="X136:Y143">ROUND(CY136,2)</f>
        <v>125221.1</v>
      </c>
      <c r="Y136">
        <f t="shared" si="128"/>
        <v>83480.73</v>
      </c>
      <c r="AA136">
        <v>51669678</v>
      </c>
      <c r="AB136">
        <f aca="true" t="shared" si="129" ref="AB136:AB143">ROUND((AC136+AD136+AF136),2)</f>
        <v>9863.95</v>
      </c>
      <c r="AC136">
        <f aca="true" t="shared" si="130" ref="AC136:AC143">ROUND((ES136),2)</f>
        <v>7531.85</v>
      </c>
      <c r="AD136">
        <f>ROUND((((((ET136*1.25)*1.25))-(((EU136*1.25)*1.25)))+AE136),2)</f>
        <v>46.86</v>
      </c>
      <c r="AE136">
        <f>ROUND((((EU136*1.25)*1.25)),2)</f>
        <v>0</v>
      </c>
      <c r="AF136">
        <f>ROUND((((EV136*1.15)*1.25)),2)</f>
        <v>2285.24</v>
      </c>
      <c r="AG136">
        <f aca="true" t="shared" si="131" ref="AG136:AG143">ROUND((AP136),2)</f>
        <v>0</v>
      </c>
      <c r="AH136">
        <f>(((EW136*1.15)*1.25))</f>
        <v>137.91375</v>
      </c>
      <c r="AI136">
        <f>(((EX136*1.25)*1.25))</f>
        <v>0</v>
      </c>
      <c r="AJ136">
        <f aca="true" t="shared" si="132" ref="AJ136:AJ143">(AS136)</f>
        <v>0</v>
      </c>
      <c r="AK136">
        <v>9151.57</v>
      </c>
      <c r="AL136">
        <v>7531.85</v>
      </c>
      <c r="AM136">
        <v>29.99</v>
      </c>
      <c r="AN136">
        <v>0</v>
      </c>
      <c r="AO136">
        <v>1589.73</v>
      </c>
      <c r="AP136">
        <v>0</v>
      </c>
      <c r="AQ136">
        <v>95.94</v>
      </c>
      <c r="AR136">
        <v>0</v>
      </c>
      <c r="AS136">
        <v>0</v>
      </c>
      <c r="AT136">
        <v>90</v>
      </c>
      <c r="AU136">
        <v>60</v>
      </c>
      <c r="AV136">
        <v>1</v>
      </c>
      <c r="AW136">
        <v>1</v>
      </c>
      <c r="AZ136">
        <v>1</v>
      </c>
      <c r="BA136">
        <v>9.82</v>
      </c>
      <c r="BB136">
        <v>5.8</v>
      </c>
      <c r="BC136">
        <v>4.68</v>
      </c>
      <c r="BH136">
        <v>0</v>
      </c>
      <c r="BI136">
        <v>1</v>
      </c>
      <c r="BJ136" t="s">
        <v>272</v>
      </c>
      <c r="BM136">
        <v>26001</v>
      </c>
      <c r="BN136">
        <v>0</v>
      </c>
      <c r="BO136" t="s">
        <v>269</v>
      </c>
      <c r="BP136">
        <v>1</v>
      </c>
      <c r="BQ136">
        <v>2</v>
      </c>
      <c r="BR136">
        <v>0</v>
      </c>
      <c r="BS136">
        <v>9.82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100</v>
      </c>
      <c r="CA136">
        <v>70</v>
      </c>
      <c r="CE136">
        <v>0</v>
      </c>
      <c r="CF136">
        <v>0</v>
      </c>
      <c r="CG136">
        <v>0</v>
      </c>
      <c r="CM136">
        <v>0</v>
      </c>
      <c r="CN136" t="s">
        <v>722</v>
      </c>
      <c r="CO136">
        <v>0</v>
      </c>
      <c r="CP136">
        <f aca="true" t="shared" si="133" ref="CP136:CP143">(P136+Q136+S136)</f>
        <v>359363.8</v>
      </c>
      <c r="CQ136">
        <f aca="true" t="shared" si="134" ref="CQ136:CQ143">AC136*BC136</f>
        <v>35249.058</v>
      </c>
      <c r="CR136">
        <f aca="true" t="shared" si="135" ref="CR136:CR143">AD136*BB136</f>
        <v>271.788</v>
      </c>
      <c r="CS136">
        <f aca="true" t="shared" si="136" ref="CS136:CS143">AE136*BS136</f>
        <v>0</v>
      </c>
      <c r="CT136">
        <f aca="true" t="shared" si="137" ref="CT136:CT143">AF136*BA136</f>
        <v>22441.0568</v>
      </c>
      <c r="CU136">
        <f aca="true" t="shared" si="138" ref="CU136:CX143">AG136</f>
        <v>0</v>
      </c>
      <c r="CV136">
        <f t="shared" si="138"/>
        <v>137.91375</v>
      </c>
      <c r="CW136">
        <f t="shared" si="138"/>
        <v>0</v>
      </c>
      <c r="CX136">
        <f t="shared" si="138"/>
        <v>0</v>
      </c>
      <c r="CY136">
        <f aca="true" t="shared" si="139" ref="CY136:CY143">(((S136+R136)*AT136)/100)</f>
        <v>125221.09499999999</v>
      </c>
      <c r="CZ136">
        <f aca="true" t="shared" si="140" ref="CZ136:CZ143">(((S136+R136)*AU136)/100)</f>
        <v>83480.73</v>
      </c>
      <c r="DE136" t="s">
        <v>139</v>
      </c>
      <c r="DF136" t="s">
        <v>139</v>
      </c>
      <c r="DG136" t="s">
        <v>140</v>
      </c>
      <c r="DI136" t="s">
        <v>140</v>
      </c>
      <c r="DJ136" t="s">
        <v>139</v>
      </c>
      <c r="DN136">
        <v>0</v>
      </c>
      <c r="DO136">
        <v>0</v>
      </c>
      <c r="DP136">
        <v>1</v>
      </c>
      <c r="DQ136">
        <v>1</v>
      </c>
      <c r="DU136">
        <v>1013</v>
      </c>
      <c r="DV136" t="s">
        <v>271</v>
      </c>
      <c r="DW136" t="s">
        <v>271</v>
      </c>
      <c r="DX136">
        <v>1</v>
      </c>
      <c r="EE136">
        <v>48034428</v>
      </c>
      <c r="EF136">
        <v>2</v>
      </c>
      <c r="EG136" t="s">
        <v>20</v>
      </c>
      <c r="EH136">
        <v>0</v>
      </c>
      <c r="EJ136">
        <v>1</v>
      </c>
      <c r="EK136">
        <v>26001</v>
      </c>
      <c r="EL136" t="s">
        <v>76</v>
      </c>
      <c r="EM136" t="s">
        <v>77</v>
      </c>
      <c r="EO136" t="s">
        <v>198</v>
      </c>
      <c r="EQ136">
        <v>512</v>
      </c>
      <c r="ER136">
        <v>9151.57</v>
      </c>
      <c r="ES136">
        <v>7531.85</v>
      </c>
      <c r="ET136">
        <v>29.99</v>
      </c>
      <c r="EU136">
        <v>0</v>
      </c>
      <c r="EV136">
        <v>1589.73</v>
      </c>
      <c r="EW136">
        <v>95.94</v>
      </c>
      <c r="EX136">
        <v>0</v>
      </c>
      <c r="EY136">
        <v>0</v>
      </c>
      <c r="FQ136">
        <v>0</v>
      </c>
      <c r="FR136">
        <f aca="true" t="shared" si="141" ref="FR136:FR143">ROUND(IF(AND(BH136=3,BI136=3),P136,0),2)</f>
        <v>0</v>
      </c>
      <c r="FS136">
        <v>0</v>
      </c>
      <c r="FT136" t="s">
        <v>24</v>
      </c>
      <c r="FU136" t="s">
        <v>25</v>
      </c>
      <c r="FX136">
        <v>90</v>
      </c>
      <c r="FY136">
        <v>59.5</v>
      </c>
      <c r="GD136">
        <v>1</v>
      </c>
      <c r="GF136">
        <v>-1854856575</v>
      </c>
      <c r="GG136">
        <v>2</v>
      </c>
      <c r="GH136">
        <v>1</v>
      </c>
      <c r="GI136">
        <v>2</v>
      </c>
      <c r="GJ136">
        <v>0</v>
      </c>
      <c r="GK136">
        <v>0</v>
      </c>
      <c r="GL136">
        <f aca="true" t="shared" si="142" ref="GL136:GL143">ROUND(IF(AND(BH136=3,BI136=3,FS136&lt;&gt;0),P136,0),2)</f>
        <v>0</v>
      </c>
      <c r="GM136">
        <f aca="true" t="shared" si="143" ref="GM136:GM143">ROUND(O136+X136+Y136,2)+GX136</f>
        <v>568065.63</v>
      </c>
      <c r="GN136">
        <f aca="true" t="shared" si="144" ref="GN136:GN143">IF(OR(BI136=0,BI136=1),ROUND(O136+X136+Y136,2),0)</f>
        <v>568065.63</v>
      </c>
      <c r="GO136">
        <f aca="true" t="shared" si="145" ref="GO136:GO143">IF(BI136=2,ROUND(O136+X136+Y136,2),0)</f>
        <v>0</v>
      </c>
      <c r="GP136">
        <f aca="true" t="shared" si="146" ref="GP136:GP143">IF(BI136=4,ROUND(O136+X136+Y136,2)+GX136,0)</f>
        <v>0</v>
      </c>
      <c r="GR136">
        <v>0</v>
      </c>
      <c r="GS136">
        <v>3</v>
      </c>
      <c r="GT136">
        <v>0</v>
      </c>
      <c r="GV136">
        <f aca="true" t="shared" si="147" ref="GV136:GV143">ROUND((GT136),2)</f>
        <v>0</v>
      </c>
      <c r="GW136">
        <v>1</v>
      </c>
      <c r="GX136">
        <f aca="true" t="shared" si="148" ref="GX136:GX143">ROUND(HC136*I136,2)</f>
        <v>0</v>
      </c>
      <c r="HA136">
        <v>0</v>
      </c>
      <c r="HB136">
        <v>0</v>
      </c>
      <c r="HC136">
        <f aca="true" t="shared" si="149" ref="HC136:HC143">GV136*GW136</f>
        <v>0</v>
      </c>
      <c r="IK136">
        <v>0</v>
      </c>
    </row>
    <row r="137" spans="1:245" ht="12.75">
      <c r="A137">
        <v>17</v>
      </c>
      <c r="B137">
        <v>1</v>
      </c>
      <c r="C137">
        <f>ROW(SmtRes!A152)</f>
        <v>152</v>
      </c>
      <c r="D137">
        <f>ROW(EtalonRes!A144)</f>
        <v>144</v>
      </c>
      <c r="E137" t="s">
        <v>273</v>
      </c>
      <c r="F137" t="s">
        <v>274</v>
      </c>
      <c r="G137" t="s">
        <v>275</v>
      </c>
      <c r="H137" t="s">
        <v>49</v>
      </c>
      <c r="I137">
        <v>5</v>
      </c>
      <c r="J137">
        <v>0</v>
      </c>
      <c r="O137">
        <f t="shared" si="119"/>
        <v>85332.44</v>
      </c>
      <c r="P137">
        <f t="shared" si="120"/>
        <v>58095.69</v>
      </c>
      <c r="Q137">
        <f t="shared" si="121"/>
        <v>2001.8</v>
      </c>
      <c r="R137">
        <f t="shared" si="122"/>
        <v>0</v>
      </c>
      <c r="S137">
        <f t="shared" si="123"/>
        <v>25234.95</v>
      </c>
      <c r="T137">
        <f t="shared" si="124"/>
        <v>0</v>
      </c>
      <c r="U137">
        <f t="shared" si="125"/>
        <v>161.71874999999997</v>
      </c>
      <c r="V137">
        <f t="shared" si="126"/>
        <v>0</v>
      </c>
      <c r="W137">
        <f t="shared" si="127"/>
        <v>0</v>
      </c>
      <c r="X137">
        <f t="shared" si="128"/>
        <v>26749.05</v>
      </c>
      <c r="Y137">
        <f t="shared" si="128"/>
        <v>13626.87</v>
      </c>
      <c r="AA137">
        <v>51669678</v>
      </c>
      <c r="AB137">
        <f t="shared" si="129"/>
        <v>2648.6</v>
      </c>
      <c r="AC137">
        <f t="shared" si="130"/>
        <v>2063.79</v>
      </c>
      <c r="AD137">
        <f>ROUND((((((ET137*1.25)*1.25))-(((EU137*1.25)*1.25)))+AE137),2)</f>
        <v>70.86</v>
      </c>
      <c r="AE137">
        <f>ROUND((((EU137*1.25)*1.25)),2)</f>
        <v>0</v>
      </c>
      <c r="AF137">
        <f>ROUND((((EV137*1.15)*1.25)),2)</f>
        <v>513.95</v>
      </c>
      <c r="AG137">
        <f t="shared" si="131"/>
        <v>0</v>
      </c>
      <c r="AH137">
        <f>(((EW137*1.15)*1.25))</f>
        <v>32.34374999999999</v>
      </c>
      <c r="AI137">
        <f>(((EX137*1.25)*1.25))</f>
        <v>0</v>
      </c>
      <c r="AJ137">
        <f t="shared" si="132"/>
        <v>0</v>
      </c>
      <c r="AK137">
        <v>2466.67</v>
      </c>
      <c r="AL137">
        <v>2063.79</v>
      </c>
      <c r="AM137">
        <v>45.35</v>
      </c>
      <c r="AN137">
        <v>0</v>
      </c>
      <c r="AO137">
        <v>357.53</v>
      </c>
      <c r="AP137">
        <v>0</v>
      </c>
      <c r="AQ137">
        <v>22.5</v>
      </c>
      <c r="AR137">
        <v>0</v>
      </c>
      <c r="AS137">
        <v>0</v>
      </c>
      <c r="AT137">
        <v>106</v>
      </c>
      <c r="AU137">
        <v>54</v>
      </c>
      <c r="AV137">
        <v>1</v>
      </c>
      <c r="AW137">
        <v>1</v>
      </c>
      <c r="AZ137">
        <v>1</v>
      </c>
      <c r="BA137">
        <v>9.82</v>
      </c>
      <c r="BB137">
        <v>5.65</v>
      </c>
      <c r="BC137">
        <v>5.63</v>
      </c>
      <c r="BH137">
        <v>0</v>
      </c>
      <c r="BI137">
        <v>1</v>
      </c>
      <c r="BJ137" t="s">
        <v>276</v>
      </c>
      <c r="BM137">
        <v>10001</v>
      </c>
      <c r="BN137">
        <v>0</v>
      </c>
      <c r="BO137" t="s">
        <v>274</v>
      </c>
      <c r="BP137">
        <v>1</v>
      </c>
      <c r="BQ137">
        <v>2</v>
      </c>
      <c r="BR137">
        <v>0</v>
      </c>
      <c r="BS137">
        <v>9.82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118</v>
      </c>
      <c r="CA137">
        <v>63</v>
      </c>
      <c r="CE137">
        <v>0</v>
      </c>
      <c r="CF137">
        <v>0</v>
      </c>
      <c r="CG137">
        <v>0</v>
      </c>
      <c r="CM137">
        <v>0</v>
      </c>
      <c r="CN137" t="s">
        <v>722</v>
      </c>
      <c r="CO137">
        <v>0</v>
      </c>
      <c r="CP137">
        <f t="shared" si="133"/>
        <v>85332.44</v>
      </c>
      <c r="CQ137">
        <f t="shared" si="134"/>
        <v>11619.1377</v>
      </c>
      <c r="CR137">
        <f t="shared" si="135"/>
        <v>400.35900000000004</v>
      </c>
      <c r="CS137">
        <f t="shared" si="136"/>
        <v>0</v>
      </c>
      <c r="CT137">
        <f t="shared" si="137"/>
        <v>5046.9890000000005</v>
      </c>
      <c r="CU137">
        <f t="shared" si="138"/>
        <v>0</v>
      </c>
      <c r="CV137">
        <f t="shared" si="138"/>
        <v>32.34374999999999</v>
      </c>
      <c r="CW137">
        <f t="shared" si="138"/>
        <v>0</v>
      </c>
      <c r="CX137">
        <f t="shared" si="138"/>
        <v>0</v>
      </c>
      <c r="CY137">
        <f t="shared" si="139"/>
        <v>26749.047000000002</v>
      </c>
      <c r="CZ137">
        <f t="shared" si="140"/>
        <v>13626.873</v>
      </c>
      <c r="DE137" t="s">
        <v>139</v>
      </c>
      <c r="DF137" t="s">
        <v>139</v>
      </c>
      <c r="DG137" t="s">
        <v>140</v>
      </c>
      <c r="DI137" t="s">
        <v>140</v>
      </c>
      <c r="DJ137" t="s">
        <v>139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49</v>
      </c>
      <c r="DW137" t="s">
        <v>49</v>
      </c>
      <c r="DX137">
        <v>1</v>
      </c>
      <c r="EE137">
        <v>48034388</v>
      </c>
      <c r="EF137">
        <v>2</v>
      </c>
      <c r="EG137" t="s">
        <v>20</v>
      </c>
      <c r="EH137">
        <v>0</v>
      </c>
      <c r="EJ137">
        <v>1</v>
      </c>
      <c r="EK137">
        <v>10001</v>
      </c>
      <c r="EL137" t="s">
        <v>53</v>
      </c>
      <c r="EM137" t="s">
        <v>54</v>
      </c>
      <c r="EO137" t="s">
        <v>198</v>
      </c>
      <c r="EQ137">
        <v>512</v>
      </c>
      <c r="ER137">
        <v>2466.67</v>
      </c>
      <c r="ES137">
        <v>2063.79</v>
      </c>
      <c r="ET137">
        <v>45.35</v>
      </c>
      <c r="EU137">
        <v>0</v>
      </c>
      <c r="EV137">
        <v>357.53</v>
      </c>
      <c r="EW137">
        <v>22.5</v>
      </c>
      <c r="EX137">
        <v>0</v>
      </c>
      <c r="EY137">
        <v>0</v>
      </c>
      <c r="FQ137">
        <v>0</v>
      </c>
      <c r="FR137">
        <f t="shared" si="141"/>
        <v>0</v>
      </c>
      <c r="FS137">
        <v>0</v>
      </c>
      <c r="FT137" t="s">
        <v>24</v>
      </c>
      <c r="FU137" t="s">
        <v>25</v>
      </c>
      <c r="FX137">
        <v>106.2</v>
      </c>
      <c r="FY137">
        <v>53.55</v>
      </c>
      <c r="GD137">
        <v>1</v>
      </c>
      <c r="GF137">
        <v>-611944906</v>
      </c>
      <c r="GG137">
        <v>2</v>
      </c>
      <c r="GH137">
        <v>1</v>
      </c>
      <c r="GI137">
        <v>2</v>
      </c>
      <c r="GJ137">
        <v>0</v>
      </c>
      <c r="GK137">
        <v>0</v>
      </c>
      <c r="GL137">
        <f t="shared" si="142"/>
        <v>0</v>
      </c>
      <c r="GM137">
        <f t="shared" si="143"/>
        <v>125708.36</v>
      </c>
      <c r="GN137">
        <f t="shared" si="144"/>
        <v>125708.36</v>
      </c>
      <c r="GO137">
        <f t="shared" si="145"/>
        <v>0</v>
      </c>
      <c r="GP137">
        <f t="shared" si="146"/>
        <v>0</v>
      </c>
      <c r="GR137">
        <v>0</v>
      </c>
      <c r="GS137">
        <v>3</v>
      </c>
      <c r="GT137">
        <v>0</v>
      </c>
      <c r="GV137">
        <f t="shared" si="147"/>
        <v>0</v>
      </c>
      <c r="GW137">
        <v>1</v>
      </c>
      <c r="GX137">
        <f t="shared" si="148"/>
        <v>0</v>
      </c>
      <c r="HA137">
        <v>0</v>
      </c>
      <c r="HB137">
        <v>0</v>
      </c>
      <c r="HC137">
        <f t="shared" si="149"/>
        <v>0</v>
      </c>
      <c r="IK137">
        <v>0</v>
      </c>
    </row>
    <row r="138" spans="1:245" ht="12.75">
      <c r="A138">
        <v>18</v>
      </c>
      <c r="B138">
        <v>1</v>
      </c>
      <c r="C138">
        <v>149</v>
      </c>
      <c r="E138" t="s">
        <v>277</v>
      </c>
      <c r="F138" t="s">
        <v>278</v>
      </c>
      <c r="G138" t="s">
        <v>279</v>
      </c>
      <c r="H138" t="s">
        <v>149</v>
      </c>
      <c r="I138">
        <f>I137*J138</f>
        <v>-4.65</v>
      </c>
      <c r="J138">
        <v>-0.93</v>
      </c>
      <c r="O138">
        <f t="shared" si="119"/>
        <v>-45351.59</v>
      </c>
      <c r="P138">
        <f t="shared" si="120"/>
        <v>-45351.59</v>
      </c>
      <c r="Q138">
        <f t="shared" si="121"/>
        <v>0</v>
      </c>
      <c r="R138">
        <f t="shared" si="122"/>
        <v>0</v>
      </c>
      <c r="S138">
        <f t="shared" si="123"/>
        <v>0</v>
      </c>
      <c r="T138">
        <f t="shared" si="124"/>
        <v>0</v>
      </c>
      <c r="U138">
        <f t="shared" si="125"/>
        <v>0</v>
      </c>
      <c r="V138">
        <f t="shared" si="126"/>
        <v>0</v>
      </c>
      <c r="W138">
        <f t="shared" si="127"/>
        <v>0</v>
      </c>
      <c r="X138">
        <f t="shared" si="128"/>
        <v>0</v>
      </c>
      <c r="Y138">
        <f t="shared" si="128"/>
        <v>0</v>
      </c>
      <c r="AA138">
        <v>51669678</v>
      </c>
      <c r="AB138">
        <f t="shared" si="129"/>
        <v>1726.2</v>
      </c>
      <c r="AC138">
        <f t="shared" si="130"/>
        <v>1726.2</v>
      </c>
      <c r="AD138">
        <f>ROUND((((ET138)-(EU138))+AE138),2)</f>
        <v>0</v>
      </c>
      <c r="AE138">
        <f>ROUND((EU138),2)</f>
        <v>0</v>
      </c>
      <c r="AF138">
        <f>ROUND((EV138),2)</f>
        <v>0</v>
      </c>
      <c r="AG138">
        <f t="shared" si="131"/>
        <v>0</v>
      </c>
      <c r="AH138">
        <f>(EW138)</f>
        <v>0</v>
      </c>
      <c r="AI138">
        <f>(EX138)</f>
        <v>0</v>
      </c>
      <c r="AJ138">
        <f t="shared" si="132"/>
        <v>0</v>
      </c>
      <c r="AK138">
        <v>1726.2</v>
      </c>
      <c r="AL138">
        <v>1726.2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Z138">
        <v>1</v>
      </c>
      <c r="BA138">
        <v>1</v>
      </c>
      <c r="BB138">
        <v>1</v>
      </c>
      <c r="BC138">
        <v>5.65</v>
      </c>
      <c r="BH138">
        <v>3</v>
      </c>
      <c r="BI138">
        <v>1</v>
      </c>
      <c r="BJ138" t="s">
        <v>280</v>
      </c>
      <c r="BM138">
        <v>500001</v>
      </c>
      <c r="BN138">
        <v>0</v>
      </c>
      <c r="BO138" t="s">
        <v>278</v>
      </c>
      <c r="BP138">
        <v>1</v>
      </c>
      <c r="BQ138">
        <v>8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Z138">
        <v>0</v>
      </c>
      <c r="CA138">
        <v>0</v>
      </c>
      <c r="CE138">
        <v>0</v>
      </c>
      <c r="CF138">
        <v>0</v>
      </c>
      <c r="CG138">
        <v>0</v>
      </c>
      <c r="CM138">
        <v>0</v>
      </c>
      <c r="CO138">
        <v>0</v>
      </c>
      <c r="CP138">
        <f t="shared" si="133"/>
        <v>-45351.59</v>
      </c>
      <c r="CQ138">
        <f t="shared" si="134"/>
        <v>9753.03</v>
      </c>
      <c r="CR138">
        <f t="shared" si="135"/>
        <v>0</v>
      </c>
      <c r="CS138">
        <f t="shared" si="136"/>
        <v>0</v>
      </c>
      <c r="CT138">
        <f t="shared" si="137"/>
        <v>0</v>
      </c>
      <c r="CU138">
        <f t="shared" si="138"/>
        <v>0</v>
      </c>
      <c r="CV138">
        <f t="shared" si="138"/>
        <v>0</v>
      </c>
      <c r="CW138">
        <f t="shared" si="138"/>
        <v>0</v>
      </c>
      <c r="CX138">
        <f t="shared" si="138"/>
        <v>0</v>
      </c>
      <c r="CY138">
        <f t="shared" si="139"/>
        <v>0</v>
      </c>
      <c r="CZ138">
        <f t="shared" si="140"/>
        <v>0</v>
      </c>
      <c r="DN138">
        <v>0</v>
      </c>
      <c r="DO138">
        <v>0</v>
      </c>
      <c r="DP138">
        <v>1</v>
      </c>
      <c r="DQ138">
        <v>1</v>
      </c>
      <c r="DU138">
        <v>1007</v>
      </c>
      <c r="DV138" t="s">
        <v>149</v>
      </c>
      <c r="DW138" t="s">
        <v>149</v>
      </c>
      <c r="DX138">
        <v>1</v>
      </c>
      <c r="EE138">
        <v>48034321</v>
      </c>
      <c r="EF138">
        <v>8</v>
      </c>
      <c r="EG138" t="s">
        <v>151</v>
      </c>
      <c r="EH138">
        <v>0</v>
      </c>
      <c r="EJ138">
        <v>1</v>
      </c>
      <c r="EK138">
        <v>500001</v>
      </c>
      <c r="EL138" t="s">
        <v>152</v>
      </c>
      <c r="EM138" t="s">
        <v>153</v>
      </c>
      <c r="EQ138">
        <v>33280</v>
      </c>
      <c r="ER138">
        <v>1726.2</v>
      </c>
      <c r="ES138">
        <v>1726.2</v>
      </c>
      <c r="ET138">
        <v>0</v>
      </c>
      <c r="EU138">
        <v>0</v>
      </c>
      <c r="EV138">
        <v>0</v>
      </c>
      <c r="EW138">
        <v>0</v>
      </c>
      <c r="EX138">
        <v>0</v>
      </c>
      <c r="FQ138">
        <v>0</v>
      </c>
      <c r="FR138">
        <f t="shared" si="141"/>
        <v>0</v>
      </c>
      <c r="FS138">
        <v>0</v>
      </c>
      <c r="FX138">
        <v>0</v>
      </c>
      <c r="FY138">
        <v>0</v>
      </c>
      <c r="GD138">
        <v>1</v>
      </c>
      <c r="GF138">
        <v>1774858116</v>
      </c>
      <c r="GG138">
        <v>2</v>
      </c>
      <c r="GH138">
        <v>1</v>
      </c>
      <c r="GI138">
        <v>2</v>
      </c>
      <c r="GJ138">
        <v>0</v>
      </c>
      <c r="GK138">
        <v>0</v>
      </c>
      <c r="GL138">
        <f t="shared" si="142"/>
        <v>0</v>
      </c>
      <c r="GM138">
        <f t="shared" si="143"/>
        <v>-45351.59</v>
      </c>
      <c r="GN138">
        <f t="shared" si="144"/>
        <v>-45351.59</v>
      </c>
      <c r="GO138">
        <f t="shared" si="145"/>
        <v>0</v>
      </c>
      <c r="GP138">
        <f t="shared" si="146"/>
        <v>0</v>
      </c>
      <c r="GR138">
        <v>0</v>
      </c>
      <c r="GS138">
        <v>3</v>
      </c>
      <c r="GT138">
        <v>0</v>
      </c>
      <c r="GV138">
        <f t="shared" si="147"/>
        <v>0</v>
      </c>
      <c r="GW138">
        <v>1</v>
      </c>
      <c r="GX138">
        <f t="shared" si="148"/>
        <v>0</v>
      </c>
      <c r="HA138">
        <v>0</v>
      </c>
      <c r="HB138">
        <v>0</v>
      </c>
      <c r="HC138">
        <f t="shared" si="149"/>
        <v>0</v>
      </c>
      <c r="IK138">
        <v>0</v>
      </c>
    </row>
    <row r="139" spans="1:245" ht="12.75">
      <c r="A139">
        <v>18</v>
      </c>
      <c r="B139">
        <v>1</v>
      </c>
      <c r="C139">
        <v>148</v>
      </c>
      <c r="E139" t="s">
        <v>281</v>
      </c>
      <c r="F139" t="s">
        <v>147</v>
      </c>
      <c r="G139" t="s">
        <v>148</v>
      </c>
      <c r="H139" t="s">
        <v>149</v>
      </c>
      <c r="I139">
        <f>I137*J139</f>
        <v>5</v>
      </c>
      <c r="J139">
        <v>1</v>
      </c>
      <c r="O139">
        <f t="shared" si="119"/>
        <v>61718.16</v>
      </c>
      <c r="P139">
        <f t="shared" si="120"/>
        <v>61718.16</v>
      </c>
      <c r="Q139">
        <f t="shared" si="121"/>
        <v>0</v>
      </c>
      <c r="R139">
        <f t="shared" si="122"/>
        <v>0</v>
      </c>
      <c r="S139">
        <f t="shared" si="123"/>
        <v>0</v>
      </c>
      <c r="T139">
        <f t="shared" si="124"/>
        <v>0</v>
      </c>
      <c r="U139">
        <f t="shared" si="125"/>
        <v>0</v>
      </c>
      <c r="V139">
        <f t="shared" si="126"/>
        <v>0</v>
      </c>
      <c r="W139">
        <f t="shared" si="127"/>
        <v>0</v>
      </c>
      <c r="X139">
        <f t="shared" si="128"/>
        <v>0</v>
      </c>
      <c r="Y139">
        <f t="shared" si="128"/>
        <v>0</v>
      </c>
      <c r="AA139">
        <v>51669678</v>
      </c>
      <c r="AB139">
        <f t="shared" si="129"/>
        <v>2593.2</v>
      </c>
      <c r="AC139">
        <f t="shared" si="130"/>
        <v>2593.2</v>
      </c>
      <c r="AD139">
        <f>ROUND((((ET139)-(EU139))+AE139),2)</f>
        <v>0</v>
      </c>
      <c r="AE139">
        <f>ROUND((EU139),2)</f>
        <v>0</v>
      </c>
      <c r="AF139">
        <f>ROUND((EV139),2)</f>
        <v>0</v>
      </c>
      <c r="AG139">
        <f t="shared" si="131"/>
        <v>0</v>
      </c>
      <c r="AH139">
        <f>(EW139)</f>
        <v>0</v>
      </c>
      <c r="AI139">
        <f>(EX139)</f>
        <v>0</v>
      </c>
      <c r="AJ139">
        <f t="shared" si="132"/>
        <v>0</v>
      </c>
      <c r="AK139">
        <v>2593.2</v>
      </c>
      <c r="AL139">
        <v>2593.2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4.76</v>
      </c>
      <c r="BH139">
        <v>3</v>
      </c>
      <c r="BI139">
        <v>1</v>
      </c>
      <c r="BJ139" t="s">
        <v>150</v>
      </c>
      <c r="BM139">
        <v>500001</v>
      </c>
      <c r="BN139">
        <v>0</v>
      </c>
      <c r="BO139" t="s">
        <v>147</v>
      </c>
      <c r="BP139">
        <v>1</v>
      </c>
      <c r="BQ139">
        <v>8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Z139">
        <v>0</v>
      </c>
      <c r="CA139">
        <v>0</v>
      </c>
      <c r="CE139">
        <v>0</v>
      </c>
      <c r="CF139">
        <v>0</v>
      </c>
      <c r="CG139">
        <v>0</v>
      </c>
      <c r="CM139">
        <v>0</v>
      </c>
      <c r="CO139">
        <v>0</v>
      </c>
      <c r="CP139">
        <f t="shared" si="133"/>
        <v>61718.16</v>
      </c>
      <c r="CQ139">
        <f t="shared" si="134"/>
        <v>12343.631999999998</v>
      </c>
      <c r="CR139">
        <f t="shared" si="135"/>
        <v>0</v>
      </c>
      <c r="CS139">
        <f t="shared" si="136"/>
        <v>0</v>
      </c>
      <c r="CT139">
        <f t="shared" si="137"/>
        <v>0</v>
      </c>
      <c r="CU139">
        <f t="shared" si="138"/>
        <v>0</v>
      </c>
      <c r="CV139">
        <f t="shared" si="138"/>
        <v>0</v>
      </c>
      <c r="CW139">
        <f t="shared" si="138"/>
        <v>0</v>
      </c>
      <c r="CX139">
        <f t="shared" si="138"/>
        <v>0</v>
      </c>
      <c r="CY139">
        <f t="shared" si="139"/>
        <v>0</v>
      </c>
      <c r="CZ139">
        <f t="shared" si="140"/>
        <v>0</v>
      </c>
      <c r="DN139">
        <v>0</v>
      </c>
      <c r="DO139">
        <v>0</v>
      </c>
      <c r="DP139">
        <v>1</v>
      </c>
      <c r="DQ139">
        <v>1</v>
      </c>
      <c r="DU139">
        <v>1007</v>
      </c>
      <c r="DV139" t="s">
        <v>149</v>
      </c>
      <c r="DW139" t="s">
        <v>149</v>
      </c>
      <c r="DX139">
        <v>1</v>
      </c>
      <c r="EE139">
        <v>48034321</v>
      </c>
      <c r="EF139">
        <v>8</v>
      </c>
      <c r="EG139" t="s">
        <v>151</v>
      </c>
      <c r="EH139">
        <v>0</v>
      </c>
      <c r="EJ139">
        <v>1</v>
      </c>
      <c r="EK139">
        <v>500001</v>
      </c>
      <c r="EL139" t="s">
        <v>152</v>
      </c>
      <c r="EM139" t="s">
        <v>153</v>
      </c>
      <c r="EQ139">
        <v>0</v>
      </c>
      <c r="ER139">
        <v>2593.2</v>
      </c>
      <c r="ES139">
        <v>2593.2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41"/>
        <v>0</v>
      </c>
      <c r="FS139">
        <v>0</v>
      </c>
      <c r="FX139">
        <v>0</v>
      </c>
      <c r="FY139">
        <v>0</v>
      </c>
      <c r="GD139">
        <v>1</v>
      </c>
      <c r="GF139">
        <v>-324964049</v>
      </c>
      <c r="GG139">
        <v>2</v>
      </c>
      <c r="GH139">
        <v>1</v>
      </c>
      <c r="GI139">
        <v>2</v>
      </c>
      <c r="GJ139">
        <v>0</v>
      </c>
      <c r="GK139">
        <v>0</v>
      </c>
      <c r="GL139">
        <f t="shared" si="142"/>
        <v>0</v>
      </c>
      <c r="GM139">
        <f t="shared" si="143"/>
        <v>61718.16</v>
      </c>
      <c r="GN139">
        <f t="shared" si="144"/>
        <v>61718.16</v>
      </c>
      <c r="GO139">
        <f t="shared" si="145"/>
        <v>0</v>
      </c>
      <c r="GP139">
        <f t="shared" si="146"/>
        <v>0</v>
      </c>
      <c r="GR139">
        <v>0</v>
      </c>
      <c r="GS139">
        <v>3</v>
      </c>
      <c r="GT139">
        <v>0</v>
      </c>
      <c r="GV139">
        <f t="shared" si="147"/>
        <v>0</v>
      </c>
      <c r="GW139">
        <v>1</v>
      </c>
      <c r="GX139">
        <f t="shared" si="148"/>
        <v>0</v>
      </c>
      <c r="HA139">
        <v>0</v>
      </c>
      <c r="HB139">
        <v>0</v>
      </c>
      <c r="HC139">
        <f t="shared" si="149"/>
        <v>0</v>
      </c>
      <c r="IK139">
        <v>0</v>
      </c>
    </row>
    <row r="140" spans="1:245" ht="12.75">
      <c r="A140">
        <v>17</v>
      </c>
      <c r="B140">
        <v>1</v>
      </c>
      <c r="C140">
        <f>ROW(SmtRes!A158)</f>
        <v>158</v>
      </c>
      <c r="D140">
        <f>ROW(EtalonRes!A149)</f>
        <v>149</v>
      </c>
      <c r="E140" t="s">
        <v>282</v>
      </c>
      <c r="F140" t="s">
        <v>283</v>
      </c>
      <c r="G140" t="s">
        <v>284</v>
      </c>
      <c r="H140" t="s">
        <v>170</v>
      </c>
      <c r="I140">
        <v>6.1</v>
      </c>
      <c r="J140">
        <v>0</v>
      </c>
      <c r="O140">
        <f t="shared" si="119"/>
        <v>112491.08</v>
      </c>
      <c r="P140">
        <f t="shared" si="120"/>
        <v>63949.6</v>
      </c>
      <c r="Q140">
        <f t="shared" si="121"/>
        <v>6997.05</v>
      </c>
      <c r="R140">
        <f t="shared" si="122"/>
        <v>413.92</v>
      </c>
      <c r="S140">
        <f t="shared" si="123"/>
        <v>41544.43</v>
      </c>
      <c r="T140">
        <f t="shared" si="124"/>
        <v>0</v>
      </c>
      <c r="U140">
        <f t="shared" si="125"/>
        <v>248.85712499999994</v>
      </c>
      <c r="V140">
        <f t="shared" si="126"/>
        <v>1.715625</v>
      </c>
      <c r="W140">
        <f t="shared" si="127"/>
        <v>0</v>
      </c>
      <c r="X140">
        <f t="shared" si="128"/>
        <v>46573.77</v>
      </c>
      <c r="Y140">
        <f t="shared" si="128"/>
        <v>26853.34</v>
      </c>
      <c r="AA140">
        <v>51669678</v>
      </c>
      <c r="AB140">
        <f t="shared" si="129"/>
        <v>2908.9</v>
      </c>
      <c r="AC140">
        <f t="shared" si="130"/>
        <v>2019.95</v>
      </c>
      <c r="AD140">
        <f>ROUND((((((ET140*1.25)*1.25))-(((EU140*1.25)*1.25)))+AE140),2)</f>
        <v>195.41</v>
      </c>
      <c r="AE140">
        <f>ROUND((((EU140*1.25)*1.25)),2)</f>
        <v>6.91</v>
      </c>
      <c r="AF140">
        <f>ROUND((((EV140*1.15)*1.25)),2)</f>
        <v>693.54</v>
      </c>
      <c r="AG140">
        <f t="shared" si="131"/>
        <v>0</v>
      </c>
      <c r="AH140">
        <f>(((EW140*1.15)*1.25))</f>
        <v>40.79624999999999</v>
      </c>
      <c r="AI140">
        <f>(((EX140*1.25)*1.25))</f>
        <v>0.28125</v>
      </c>
      <c r="AJ140">
        <f t="shared" si="132"/>
        <v>0</v>
      </c>
      <c r="AK140">
        <v>2627.47</v>
      </c>
      <c r="AL140">
        <v>2019.95</v>
      </c>
      <c r="AM140">
        <v>125.06</v>
      </c>
      <c r="AN140">
        <v>4.42</v>
      </c>
      <c r="AO140">
        <v>482.46</v>
      </c>
      <c r="AP140">
        <v>0</v>
      </c>
      <c r="AQ140">
        <v>28.38</v>
      </c>
      <c r="AR140">
        <v>0.18</v>
      </c>
      <c r="AS140">
        <v>0</v>
      </c>
      <c r="AT140">
        <v>111</v>
      </c>
      <c r="AU140">
        <v>64</v>
      </c>
      <c r="AV140">
        <v>1</v>
      </c>
      <c r="AW140">
        <v>1</v>
      </c>
      <c r="AZ140">
        <v>1</v>
      </c>
      <c r="BA140">
        <v>9.82</v>
      </c>
      <c r="BB140">
        <v>5.87</v>
      </c>
      <c r="BC140">
        <v>5.19</v>
      </c>
      <c r="BH140">
        <v>0</v>
      </c>
      <c r="BI140">
        <v>1</v>
      </c>
      <c r="BJ140" t="s">
        <v>285</v>
      </c>
      <c r="BM140">
        <v>11001</v>
      </c>
      <c r="BN140">
        <v>0</v>
      </c>
      <c r="BO140" t="s">
        <v>283</v>
      </c>
      <c r="BP140">
        <v>1</v>
      </c>
      <c r="BQ140">
        <v>2</v>
      </c>
      <c r="BR140">
        <v>0</v>
      </c>
      <c r="BS140">
        <v>9.82</v>
      </c>
      <c r="BT140">
        <v>1</v>
      </c>
      <c r="BU140">
        <v>1</v>
      </c>
      <c r="BV140">
        <v>1</v>
      </c>
      <c r="BW140">
        <v>1</v>
      </c>
      <c r="BX140">
        <v>1</v>
      </c>
      <c r="BZ140">
        <v>123</v>
      </c>
      <c r="CA140">
        <v>75</v>
      </c>
      <c r="CE140">
        <v>0</v>
      </c>
      <c r="CF140">
        <v>0</v>
      </c>
      <c r="CG140">
        <v>0</v>
      </c>
      <c r="CM140">
        <v>0</v>
      </c>
      <c r="CN140" t="s">
        <v>722</v>
      </c>
      <c r="CO140">
        <v>0</v>
      </c>
      <c r="CP140">
        <f t="shared" si="133"/>
        <v>112491.07999999999</v>
      </c>
      <c r="CQ140">
        <f t="shared" si="134"/>
        <v>10483.540500000001</v>
      </c>
      <c r="CR140">
        <f t="shared" si="135"/>
        <v>1147.0567</v>
      </c>
      <c r="CS140">
        <f t="shared" si="136"/>
        <v>67.8562</v>
      </c>
      <c r="CT140">
        <f t="shared" si="137"/>
        <v>6810.5628</v>
      </c>
      <c r="CU140">
        <f t="shared" si="138"/>
        <v>0</v>
      </c>
      <c r="CV140">
        <f t="shared" si="138"/>
        <v>40.79624999999999</v>
      </c>
      <c r="CW140">
        <f t="shared" si="138"/>
        <v>0.28125</v>
      </c>
      <c r="CX140">
        <f t="shared" si="138"/>
        <v>0</v>
      </c>
      <c r="CY140">
        <f t="shared" si="139"/>
        <v>46573.7685</v>
      </c>
      <c r="CZ140">
        <f t="shared" si="140"/>
        <v>26853.343999999997</v>
      </c>
      <c r="DE140" t="s">
        <v>139</v>
      </c>
      <c r="DF140" t="s">
        <v>139</v>
      </c>
      <c r="DG140" t="s">
        <v>140</v>
      </c>
      <c r="DI140" t="s">
        <v>140</v>
      </c>
      <c r="DJ140" t="s">
        <v>139</v>
      </c>
      <c r="DN140">
        <v>0</v>
      </c>
      <c r="DO140">
        <v>0</v>
      </c>
      <c r="DP140">
        <v>1</v>
      </c>
      <c r="DQ140">
        <v>1</v>
      </c>
      <c r="DU140">
        <v>1005</v>
      </c>
      <c r="DV140" t="s">
        <v>170</v>
      </c>
      <c r="DW140" t="s">
        <v>170</v>
      </c>
      <c r="DX140">
        <v>100</v>
      </c>
      <c r="EE140">
        <v>48034389</v>
      </c>
      <c r="EF140">
        <v>2</v>
      </c>
      <c r="EG140" t="s">
        <v>20</v>
      </c>
      <c r="EH140">
        <v>0</v>
      </c>
      <c r="EJ140">
        <v>1</v>
      </c>
      <c r="EK140">
        <v>11001</v>
      </c>
      <c r="EL140" t="s">
        <v>286</v>
      </c>
      <c r="EM140" t="s">
        <v>287</v>
      </c>
      <c r="EO140" t="s">
        <v>198</v>
      </c>
      <c r="EQ140">
        <v>512</v>
      </c>
      <c r="ER140">
        <v>2627.47</v>
      </c>
      <c r="ES140">
        <v>2019.95</v>
      </c>
      <c r="ET140">
        <v>125.06</v>
      </c>
      <c r="EU140">
        <v>4.42</v>
      </c>
      <c r="EV140">
        <v>482.46</v>
      </c>
      <c r="EW140">
        <v>28.38</v>
      </c>
      <c r="EX140">
        <v>0.18</v>
      </c>
      <c r="EY140">
        <v>0</v>
      </c>
      <c r="FQ140">
        <v>0</v>
      </c>
      <c r="FR140">
        <f t="shared" si="141"/>
        <v>0</v>
      </c>
      <c r="FS140">
        <v>0</v>
      </c>
      <c r="FT140" t="s">
        <v>24</v>
      </c>
      <c r="FU140" t="s">
        <v>25</v>
      </c>
      <c r="FX140">
        <v>110.7</v>
      </c>
      <c r="FY140">
        <v>63.75</v>
      </c>
      <c r="GD140">
        <v>1</v>
      </c>
      <c r="GF140">
        <v>1850454139</v>
      </c>
      <c r="GG140">
        <v>2</v>
      </c>
      <c r="GH140">
        <v>1</v>
      </c>
      <c r="GI140">
        <v>2</v>
      </c>
      <c r="GJ140">
        <v>0</v>
      </c>
      <c r="GK140">
        <v>0</v>
      </c>
      <c r="GL140">
        <f t="shared" si="142"/>
        <v>0</v>
      </c>
      <c r="GM140">
        <f t="shared" si="143"/>
        <v>185918.19</v>
      </c>
      <c r="GN140">
        <f t="shared" si="144"/>
        <v>185918.19</v>
      </c>
      <c r="GO140">
        <f t="shared" si="145"/>
        <v>0</v>
      </c>
      <c r="GP140">
        <f t="shared" si="146"/>
        <v>0</v>
      </c>
      <c r="GR140">
        <v>0</v>
      </c>
      <c r="GS140">
        <v>3</v>
      </c>
      <c r="GT140">
        <v>0</v>
      </c>
      <c r="GV140">
        <f t="shared" si="147"/>
        <v>0</v>
      </c>
      <c r="GW140">
        <v>1</v>
      </c>
      <c r="GX140">
        <f t="shared" si="148"/>
        <v>0</v>
      </c>
      <c r="HA140">
        <v>0</v>
      </c>
      <c r="HB140">
        <v>0</v>
      </c>
      <c r="HC140">
        <f t="shared" si="149"/>
        <v>0</v>
      </c>
      <c r="IK140">
        <v>0</v>
      </c>
    </row>
    <row r="141" spans="1:245" ht="12.75">
      <c r="A141">
        <v>18</v>
      </c>
      <c r="B141">
        <v>1</v>
      </c>
      <c r="C141">
        <v>157</v>
      </c>
      <c r="E141" t="s">
        <v>288</v>
      </c>
      <c r="F141" t="s">
        <v>289</v>
      </c>
      <c r="G141" t="s">
        <v>290</v>
      </c>
      <c r="H141" t="s">
        <v>149</v>
      </c>
      <c r="I141">
        <f>I140*J141</f>
        <v>-25.131999999999998</v>
      </c>
      <c r="J141">
        <v>-4.12</v>
      </c>
      <c r="O141">
        <f t="shared" si="119"/>
        <v>-63949.71</v>
      </c>
      <c r="P141">
        <f t="shared" si="120"/>
        <v>-63949.71</v>
      </c>
      <c r="Q141">
        <f t="shared" si="121"/>
        <v>0</v>
      </c>
      <c r="R141">
        <f t="shared" si="122"/>
        <v>0</v>
      </c>
      <c r="S141">
        <f t="shared" si="123"/>
        <v>0</v>
      </c>
      <c r="T141">
        <f t="shared" si="124"/>
        <v>0</v>
      </c>
      <c r="U141">
        <f t="shared" si="125"/>
        <v>0</v>
      </c>
      <c r="V141">
        <f t="shared" si="126"/>
        <v>0</v>
      </c>
      <c r="W141">
        <f t="shared" si="127"/>
        <v>0</v>
      </c>
      <c r="X141">
        <f t="shared" si="128"/>
        <v>0</v>
      </c>
      <c r="Y141">
        <f t="shared" si="128"/>
        <v>0</v>
      </c>
      <c r="AA141">
        <v>51669678</v>
      </c>
      <c r="AB141">
        <f t="shared" si="129"/>
        <v>490.28</v>
      </c>
      <c r="AC141">
        <f t="shared" si="130"/>
        <v>490.28</v>
      </c>
      <c r="AD141">
        <f>ROUND((((ET141)-(EU141))+AE141),2)</f>
        <v>0</v>
      </c>
      <c r="AE141">
        <f>ROUND((EU141),2)</f>
        <v>0</v>
      </c>
      <c r="AF141">
        <f>ROUND((EV141),2)</f>
        <v>0</v>
      </c>
      <c r="AG141">
        <f t="shared" si="131"/>
        <v>0</v>
      </c>
      <c r="AH141">
        <f>(EW141)</f>
        <v>0</v>
      </c>
      <c r="AI141">
        <f>(EX141)</f>
        <v>0</v>
      </c>
      <c r="AJ141">
        <f t="shared" si="132"/>
        <v>0</v>
      </c>
      <c r="AK141">
        <v>490.28</v>
      </c>
      <c r="AL141">
        <v>490.28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5.19</v>
      </c>
      <c r="BH141">
        <v>3</v>
      </c>
      <c r="BI141">
        <v>1</v>
      </c>
      <c r="BJ141" t="s">
        <v>291</v>
      </c>
      <c r="BM141">
        <v>500001</v>
      </c>
      <c r="BN141">
        <v>0</v>
      </c>
      <c r="BO141" t="s">
        <v>289</v>
      </c>
      <c r="BP141">
        <v>1</v>
      </c>
      <c r="BQ141">
        <v>8</v>
      </c>
      <c r="BR141">
        <v>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0</v>
      </c>
      <c r="CA141">
        <v>0</v>
      </c>
      <c r="CE141">
        <v>0</v>
      </c>
      <c r="CF141">
        <v>0</v>
      </c>
      <c r="CG141">
        <v>0</v>
      </c>
      <c r="CM141">
        <v>0</v>
      </c>
      <c r="CO141">
        <v>0</v>
      </c>
      <c r="CP141">
        <f t="shared" si="133"/>
        <v>-63949.71</v>
      </c>
      <c r="CQ141">
        <f t="shared" si="134"/>
        <v>2544.5532</v>
      </c>
      <c r="CR141">
        <f t="shared" si="135"/>
        <v>0</v>
      </c>
      <c r="CS141">
        <f t="shared" si="136"/>
        <v>0</v>
      </c>
      <c r="CT141">
        <f t="shared" si="137"/>
        <v>0</v>
      </c>
      <c r="CU141">
        <f t="shared" si="138"/>
        <v>0</v>
      </c>
      <c r="CV141">
        <f t="shared" si="138"/>
        <v>0</v>
      </c>
      <c r="CW141">
        <f t="shared" si="138"/>
        <v>0</v>
      </c>
      <c r="CX141">
        <f t="shared" si="138"/>
        <v>0</v>
      </c>
      <c r="CY141">
        <f t="shared" si="139"/>
        <v>0</v>
      </c>
      <c r="CZ141">
        <f t="shared" si="140"/>
        <v>0</v>
      </c>
      <c r="DN141">
        <v>0</v>
      </c>
      <c r="DO141">
        <v>0</v>
      </c>
      <c r="DP141">
        <v>1</v>
      </c>
      <c r="DQ141">
        <v>1</v>
      </c>
      <c r="DU141">
        <v>1007</v>
      </c>
      <c r="DV141" t="s">
        <v>149</v>
      </c>
      <c r="DW141" t="s">
        <v>149</v>
      </c>
      <c r="DX141">
        <v>1</v>
      </c>
      <c r="EE141">
        <v>48034321</v>
      </c>
      <c r="EF141">
        <v>8</v>
      </c>
      <c r="EG141" t="s">
        <v>151</v>
      </c>
      <c r="EH141">
        <v>0</v>
      </c>
      <c r="EJ141">
        <v>1</v>
      </c>
      <c r="EK141">
        <v>500001</v>
      </c>
      <c r="EL141" t="s">
        <v>152</v>
      </c>
      <c r="EM141" t="s">
        <v>153</v>
      </c>
      <c r="EQ141">
        <v>33280</v>
      </c>
      <c r="ER141">
        <v>490.28</v>
      </c>
      <c r="ES141">
        <v>490.28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41"/>
        <v>0</v>
      </c>
      <c r="FS141">
        <v>0</v>
      </c>
      <c r="FX141">
        <v>0</v>
      </c>
      <c r="FY141">
        <v>0</v>
      </c>
      <c r="GD141">
        <v>1</v>
      </c>
      <c r="GF141">
        <v>2011032826</v>
      </c>
      <c r="GG141">
        <v>2</v>
      </c>
      <c r="GH141">
        <v>1</v>
      </c>
      <c r="GI141">
        <v>2</v>
      </c>
      <c r="GJ141">
        <v>0</v>
      </c>
      <c r="GK141">
        <v>0</v>
      </c>
      <c r="GL141">
        <f t="shared" si="142"/>
        <v>0</v>
      </c>
      <c r="GM141">
        <f t="shared" si="143"/>
        <v>-63949.71</v>
      </c>
      <c r="GN141">
        <f t="shared" si="144"/>
        <v>-63949.71</v>
      </c>
      <c r="GO141">
        <f t="shared" si="145"/>
        <v>0</v>
      </c>
      <c r="GP141">
        <f t="shared" si="146"/>
        <v>0</v>
      </c>
      <c r="GR141">
        <v>0</v>
      </c>
      <c r="GS141">
        <v>3</v>
      </c>
      <c r="GT141">
        <v>0</v>
      </c>
      <c r="GV141">
        <f t="shared" si="147"/>
        <v>0</v>
      </c>
      <c r="GW141">
        <v>1</v>
      </c>
      <c r="GX141">
        <f t="shared" si="148"/>
        <v>0</v>
      </c>
      <c r="HA141">
        <v>0</v>
      </c>
      <c r="HB141">
        <v>0</v>
      </c>
      <c r="HC141">
        <f t="shared" si="149"/>
        <v>0</v>
      </c>
      <c r="IK141">
        <v>0</v>
      </c>
    </row>
    <row r="142" spans="1:245" ht="12.75">
      <c r="A142">
        <v>18</v>
      </c>
      <c r="B142">
        <v>1</v>
      </c>
      <c r="C142">
        <v>158</v>
      </c>
      <c r="E142" t="s">
        <v>292</v>
      </c>
      <c r="F142" t="s">
        <v>200</v>
      </c>
      <c r="G142" t="s">
        <v>293</v>
      </c>
      <c r="H142" t="s">
        <v>182</v>
      </c>
      <c r="I142">
        <f>I140*J142</f>
        <v>640.5</v>
      </c>
      <c r="J142">
        <v>105</v>
      </c>
      <c r="O142">
        <f t="shared" si="119"/>
        <v>117422.87</v>
      </c>
      <c r="P142">
        <f t="shared" si="120"/>
        <v>117422.87</v>
      </c>
      <c r="Q142">
        <f t="shared" si="121"/>
        <v>0</v>
      </c>
      <c r="R142">
        <f t="shared" si="122"/>
        <v>0</v>
      </c>
      <c r="S142">
        <f t="shared" si="123"/>
        <v>0</v>
      </c>
      <c r="T142">
        <f t="shared" si="124"/>
        <v>0</v>
      </c>
      <c r="U142">
        <f t="shared" si="125"/>
        <v>0</v>
      </c>
      <c r="V142">
        <f t="shared" si="126"/>
        <v>0</v>
      </c>
      <c r="W142">
        <f t="shared" si="127"/>
        <v>0</v>
      </c>
      <c r="X142">
        <f t="shared" si="128"/>
        <v>0</v>
      </c>
      <c r="Y142">
        <f t="shared" si="128"/>
        <v>0</v>
      </c>
      <c r="AA142">
        <v>51669678</v>
      </c>
      <c r="AB142">
        <f t="shared" si="129"/>
        <v>183.33</v>
      </c>
      <c r="AC142">
        <f t="shared" si="130"/>
        <v>183.33</v>
      </c>
      <c r="AD142">
        <f>ROUND((((ET142)-(EU142))+AE142),2)</f>
        <v>0</v>
      </c>
      <c r="AE142">
        <f>ROUND((EU142),2)</f>
        <v>0</v>
      </c>
      <c r="AF142">
        <f>ROUND((EV142),2)</f>
        <v>0</v>
      </c>
      <c r="AG142">
        <f t="shared" si="131"/>
        <v>0</v>
      </c>
      <c r="AH142">
        <f>(EW142)</f>
        <v>0</v>
      </c>
      <c r="AI142">
        <f>(EX142)</f>
        <v>0</v>
      </c>
      <c r="AJ142">
        <f t="shared" si="132"/>
        <v>0</v>
      </c>
      <c r="AK142">
        <v>183.33</v>
      </c>
      <c r="AL142">
        <v>183.33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1</v>
      </c>
      <c r="BH142">
        <v>3</v>
      </c>
      <c r="BI142">
        <v>4</v>
      </c>
      <c r="BM142">
        <v>0</v>
      </c>
      <c r="BN142">
        <v>0</v>
      </c>
      <c r="BP142">
        <v>0</v>
      </c>
      <c r="BQ142">
        <v>16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0</v>
      </c>
      <c r="CA142">
        <v>0</v>
      </c>
      <c r="CE142">
        <v>0</v>
      </c>
      <c r="CF142">
        <v>0</v>
      </c>
      <c r="CG142">
        <v>0</v>
      </c>
      <c r="CM142">
        <v>0</v>
      </c>
      <c r="CO142">
        <v>0</v>
      </c>
      <c r="CP142">
        <f t="shared" si="133"/>
        <v>117422.87</v>
      </c>
      <c r="CQ142">
        <f t="shared" si="134"/>
        <v>183.33</v>
      </c>
      <c r="CR142">
        <f t="shared" si="135"/>
        <v>0</v>
      </c>
      <c r="CS142">
        <f t="shared" si="136"/>
        <v>0</v>
      </c>
      <c r="CT142">
        <f t="shared" si="137"/>
        <v>0</v>
      </c>
      <c r="CU142">
        <f t="shared" si="138"/>
        <v>0</v>
      </c>
      <c r="CV142">
        <f t="shared" si="138"/>
        <v>0</v>
      </c>
      <c r="CW142">
        <f t="shared" si="138"/>
        <v>0</v>
      </c>
      <c r="CX142">
        <f t="shared" si="138"/>
        <v>0</v>
      </c>
      <c r="CY142">
        <f t="shared" si="139"/>
        <v>0</v>
      </c>
      <c r="CZ142">
        <f t="shared" si="140"/>
        <v>0</v>
      </c>
      <c r="DN142">
        <v>0</v>
      </c>
      <c r="DO142">
        <v>0</v>
      </c>
      <c r="DP142">
        <v>1</v>
      </c>
      <c r="DQ142">
        <v>1</v>
      </c>
      <c r="DU142">
        <v>1005</v>
      </c>
      <c r="DV142" t="s">
        <v>182</v>
      </c>
      <c r="DW142" t="s">
        <v>184</v>
      </c>
      <c r="DX142">
        <v>1</v>
      </c>
      <c r="EE142">
        <v>48034329</v>
      </c>
      <c r="EF142">
        <v>16</v>
      </c>
      <c r="EG142" t="s">
        <v>203</v>
      </c>
      <c r="EH142">
        <v>0</v>
      </c>
      <c r="EJ142">
        <v>4</v>
      </c>
      <c r="EK142">
        <v>0</v>
      </c>
      <c r="EL142" t="s">
        <v>204</v>
      </c>
      <c r="EM142" t="s">
        <v>205</v>
      </c>
      <c r="EQ142">
        <v>512</v>
      </c>
      <c r="ER142">
        <v>183.33</v>
      </c>
      <c r="ES142">
        <v>183.33</v>
      </c>
      <c r="ET142">
        <v>0</v>
      </c>
      <c r="EU142">
        <v>0</v>
      </c>
      <c r="EV142">
        <v>0</v>
      </c>
      <c r="EW142">
        <v>0</v>
      </c>
      <c r="EX142">
        <v>0</v>
      </c>
      <c r="EZ142">
        <v>5</v>
      </c>
      <c r="FC142">
        <v>1</v>
      </c>
      <c r="FD142">
        <v>18</v>
      </c>
      <c r="FF142">
        <v>220</v>
      </c>
      <c r="FQ142">
        <v>0</v>
      </c>
      <c r="FR142">
        <f t="shared" si="141"/>
        <v>0</v>
      </c>
      <c r="FS142">
        <v>0</v>
      </c>
      <c r="FX142">
        <v>0</v>
      </c>
      <c r="FY142">
        <v>0</v>
      </c>
      <c r="GA142" t="s">
        <v>294</v>
      </c>
      <c r="GD142">
        <v>1</v>
      </c>
      <c r="GF142">
        <v>-1708666490</v>
      </c>
      <c r="GG142">
        <v>2</v>
      </c>
      <c r="GH142">
        <v>3</v>
      </c>
      <c r="GI142">
        <v>-2</v>
      </c>
      <c r="GJ142">
        <v>0</v>
      </c>
      <c r="GK142">
        <v>0</v>
      </c>
      <c r="GL142">
        <f t="shared" si="142"/>
        <v>0</v>
      </c>
      <c r="GM142">
        <f t="shared" si="143"/>
        <v>117422.87</v>
      </c>
      <c r="GN142">
        <f t="shared" si="144"/>
        <v>0</v>
      </c>
      <c r="GO142">
        <f t="shared" si="145"/>
        <v>0</v>
      </c>
      <c r="GP142">
        <f t="shared" si="146"/>
        <v>117422.87</v>
      </c>
      <c r="GR142">
        <v>1</v>
      </c>
      <c r="GS142">
        <v>1</v>
      </c>
      <c r="GT142">
        <v>0</v>
      </c>
      <c r="GV142">
        <f t="shared" si="147"/>
        <v>0</v>
      </c>
      <c r="GW142">
        <v>1</v>
      </c>
      <c r="GX142">
        <f t="shared" si="148"/>
        <v>0</v>
      </c>
      <c r="HA142">
        <v>0</v>
      </c>
      <c r="HB142">
        <v>0</v>
      </c>
      <c r="HC142">
        <f t="shared" si="149"/>
        <v>0</v>
      </c>
      <c r="IK142">
        <v>0</v>
      </c>
    </row>
    <row r="143" spans="1:245" ht="12.75">
      <c r="A143">
        <v>17</v>
      </c>
      <c r="B143">
        <v>1</v>
      </c>
      <c r="C143">
        <f>ROW(SmtRes!A166)</f>
        <v>166</v>
      </c>
      <c r="D143">
        <f>ROW(EtalonRes!A157)</f>
        <v>157</v>
      </c>
      <c r="E143" t="s">
        <v>295</v>
      </c>
      <c r="F143" t="s">
        <v>296</v>
      </c>
      <c r="G143" t="s">
        <v>297</v>
      </c>
      <c r="H143" t="s">
        <v>16</v>
      </c>
      <c r="I143">
        <v>6.8</v>
      </c>
      <c r="J143">
        <v>0</v>
      </c>
      <c r="O143">
        <f t="shared" si="119"/>
        <v>434535.53</v>
      </c>
      <c r="P143">
        <f t="shared" si="120"/>
        <v>331887.87</v>
      </c>
      <c r="Q143">
        <f t="shared" si="121"/>
        <v>8400.01</v>
      </c>
      <c r="R143">
        <f t="shared" si="122"/>
        <v>1484.43</v>
      </c>
      <c r="S143">
        <f t="shared" si="123"/>
        <v>94247.65</v>
      </c>
      <c r="T143">
        <f t="shared" si="124"/>
        <v>0</v>
      </c>
      <c r="U143">
        <f t="shared" si="125"/>
        <v>593.5379999999999</v>
      </c>
      <c r="V143">
        <f t="shared" si="126"/>
        <v>6.1625</v>
      </c>
      <c r="W143">
        <f t="shared" si="127"/>
        <v>0</v>
      </c>
      <c r="X143">
        <f t="shared" si="128"/>
        <v>106262.61</v>
      </c>
      <c r="Y143">
        <f t="shared" si="128"/>
        <v>61268.53</v>
      </c>
      <c r="AA143">
        <v>51669678</v>
      </c>
      <c r="AB143">
        <f t="shared" si="129"/>
        <v>7338.75</v>
      </c>
      <c r="AC143">
        <f t="shared" si="130"/>
        <v>5721.81</v>
      </c>
      <c r="AD143">
        <f>ROUND((((((ET143*1.25)*1.25))-(((EU143*1.25)*1.25)))+AE143),2)</f>
        <v>205.54</v>
      </c>
      <c r="AE143">
        <f>ROUND((((EU143*1.25)*1.25)),2)</f>
        <v>22.23</v>
      </c>
      <c r="AF143">
        <f>ROUND((((EV143*1.15)*1.25)),2)</f>
        <v>1411.4</v>
      </c>
      <c r="AG143">
        <f t="shared" si="131"/>
        <v>0</v>
      </c>
      <c r="AH143">
        <f>(((EW143*1.15)*1.25))</f>
        <v>87.28499999999998</v>
      </c>
      <c r="AI143">
        <f>(((EX143*1.25)*1.25))</f>
        <v>0.90625</v>
      </c>
      <c r="AJ143">
        <f t="shared" si="132"/>
        <v>0</v>
      </c>
      <c r="AK143">
        <v>6835.2</v>
      </c>
      <c r="AL143">
        <v>5721.81</v>
      </c>
      <c r="AM143">
        <v>131.55</v>
      </c>
      <c r="AN143">
        <v>14.23</v>
      </c>
      <c r="AO143">
        <v>981.84</v>
      </c>
      <c r="AP143">
        <v>0</v>
      </c>
      <c r="AQ143">
        <v>60.72</v>
      </c>
      <c r="AR143">
        <v>0.58</v>
      </c>
      <c r="AS143">
        <v>0</v>
      </c>
      <c r="AT143">
        <v>111</v>
      </c>
      <c r="AU143">
        <v>64</v>
      </c>
      <c r="AV143">
        <v>1</v>
      </c>
      <c r="AW143">
        <v>1</v>
      </c>
      <c r="AZ143">
        <v>1</v>
      </c>
      <c r="BA143">
        <v>9.82</v>
      </c>
      <c r="BB143">
        <v>6.01</v>
      </c>
      <c r="BC143">
        <v>8.53</v>
      </c>
      <c r="BH143">
        <v>0</v>
      </c>
      <c r="BI143">
        <v>1</v>
      </c>
      <c r="BJ143" t="s">
        <v>298</v>
      </c>
      <c r="BM143">
        <v>11001</v>
      </c>
      <c r="BN143">
        <v>0</v>
      </c>
      <c r="BO143" t="s">
        <v>296</v>
      </c>
      <c r="BP143">
        <v>1</v>
      </c>
      <c r="BQ143">
        <v>2</v>
      </c>
      <c r="BR143">
        <v>0</v>
      </c>
      <c r="BS143">
        <v>9.82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123</v>
      </c>
      <c r="CA143">
        <v>75</v>
      </c>
      <c r="CE143">
        <v>0</v>
      </c>
      <c r="CF143">
        <v>0</v>
      </c>
      <c r="CG143">
        <v>0</v>
      </c>
      <c r="CM143">
        <v>0</v>
      </c>
      <c r="CN143" t="s">
        <v>722</v>
      </c>
      <c r="CO143">
        <v>0</v>
      </c>
      <c r="CP143">
        <f t="shared" si="133"/>
        <v>434535.53</v>
      </c>
      <c r="CQ143">
        <f t="shared" si="134"/>
        <v>48807.0393</v>
      </c>
      <c r="CR143">
        <f t="shared" si="135"/>
        <v>1235.2954</v>
      </c>
      <c r="CS143">
        <f t="shared" si="136"/>
        <v>218.29860000000002</v>
      </c>
      <c r="CT143">
        <f t="shared" si="137"/>
        <v>13859.948000000002</v>
      </c>
      <c r="CU143">
        <f t="shared" si="138"/>
        <v>0</v>
      </c>
      <c r="CV143">
        <f t="shared" si="138"/>
        <v>87.28499999999998</v>
      </c>
      <c r="CW143">
        <f t="shared" si="138"/>
        <v>0.90625</v>
      </c>
      <c r="CX143">
        <f t="shared" si="138"/>
        <v>0</v>
      </c>
      <c r="CY143">
        <f t="shared" si="139"/>
        <v>106262.60879999999</v>
      </c>
      <c r="CZ143">
        <f t="shared" si="140"/>
        <v>61268.53119999999</v>
      </c>
      <c r="DE143" t="s">
        <v>139</v>
      </c>
      <c r="DF143" t="s">
        <v>139</v>
      </c>
      <c r="DG143" t="s">
        <v>140</v>
      </c>
      <c r="DI143" t="s">
        <v>140</v>
      </c>
      <c r="DJ143" t="s">
        <v>139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16</v>
      </c>
      <c r="DW143" t="s">
        <v>16</v>
      </c>
      <c r="DX143">
        <v>1</v>
      </c>
      <c r="EE143">
        <v>48034389</v>
      </c>
      <c r="EF143">
        <v>2</v>
      </c>
      <c r="EG143" t="s">
        <v>20</v>
      </c>
      <c r="EH143">
        <v>0</v>
      </c>
      <c r="EJ143">
        <v>1</v>
      </c>
      <c r="EK143">
        <v>11001</v>
      </c>
      <c r="EL143" t="s">
        <v>286</v>
      </c>
      <c r="EM143" t="s">
        <v>287</v>
      </c>
      <c r="EO143" t="s">
        <v>198</v>
      </c>
      <c r="EQ143">
        <v>512</v>
      </c>
      <c r="ER143">
        <v>6835.2</v>
      </c>
      <c r="ES143">
        <v>5721.81</v>
      </c>
      <c r="ET143">
        <v>131.55</v>
      </c>
      <c r="EU143">
        <v>14.23</v>
      </c>
      <c r="EV143">
        <v>981.84</v>
      </c>
      <c r="EW143">
        <v>60.72</v>
      </c>
      <c r="EX143">
        <v>0.58</v>
      </c>
      <c r="EY143">
        <v>0</v>
      </c>
      <c r="FQ143">
        <v>0</v>
      </c>
      <c r="FR143">
        <f t="shared" si="141"/>
        <v>0</v>
      </c>
      <c r="FS143">
        <v>0</v>
      </c>
      <c r="FT143" t="s">
        <v>24</v>
      </c>
      <c r="FU143" t="s">
        <v>25</v>
      </c>
      <c r="FX143">
        <v>110.7</v>
      </c>
      <c r="FY143">
        <v>63.75</v>
      </c>
      <c r="GD143">
        <v>1</v>
      </c>
      <c r="GF143">
        <v>-1581321353</v>
      </c>
      <c r="GG143">
        <v>2</v>
      </c>
      <c r="GH143">
        <v>1</v>
      </c>
      <c r="GI143">
        <v>2</v>
      </c>
      <c r="GJ143">
        <v>0</v>
      </c>
      <c r="GK143">
        <v>0</v>
      </c>
      <c r="GL143">
        <f t="shared" si="142"/>
        <v>0</v>
      </c>
      <c r="GM143">
        <f t="shared" si="143"/>
        <v>602066.67</v>
      </c>
      <c r="GN143">
        <f t="shared" si="144"/>
        <v>602066.67</v>
      </c>
      <c r="GO143">
        <f t="shared" si="145"/>
        <v>0</v>
      </c>
      <c r="GP143">
        <f t="shared" si="146"/>
        <v>0</v>
      </c>
      <c r="GR143">
        <v>0</v>
      </c>
      <c r="GS143">
        <v>3</v>
      </c>
      <c r="GT143">
        <v>0</v>
      </c>
      <c r="GV143">
        <f t="shared" si="147"/>
        <v>0</v>
      </c>
      <c r="GW143">
        <v>1</v>
      </c>
      <c r="GX143">
        <f t="shared" si="148"/>
        <v>0</v>
      </c>
      <c r="HA143">
        <v>0</v>
      </c>
      <c r="HB143">
        <v>0</v>
      </c>
      <c r="HC143">
        <f t="shared" si="149"/>
        <v>0</v>
      </c>
      <c r="IK143">
        <v>0</v>
      </c>
    </row>
    <row r="145" spans="1:206" ht="12.75">
      <c r="A145" s="2">
        <v>51</v>
      </c>
      <c r="B145" s="2">
        <f>B132</f>
        <v>1</v>
      </c>
      <c r="C145" s="2">
        <f>A132</f>
        <v>5</v>
      </c>
      <c r="D145" s="2">
        <f>ROW(A132)</f>
        <v>132</v>
      </c>
      <c r="E145" s="2"/>
      <c r="F145" s="2" t="str">
        <f>IF(F132&lt;&gt;"",F132,"")</f>
        <v>Новый подраздел</v>
      </c>
      <c r="G145" s="2" t="str">
        <f>IF(G132&lt;&gt;"",G132,"")</f>
        <v>2.2.  Перекрытие</v>
      </c>
      <c r="H145" s="2">
        <v>0</v>
      </c>
      <c r="I145" s="2"/>
      <c r="J145" s="2"/>
      <c r="K145" s="2"/>
      <c r="L145" s="2"/>
      <c r="M145" s="2"/>
      <c r="N145" s="2"/>
      <c r="O145" s="2">
        <f aca="true" t="shared" si="150" ref="O145:T145">ROUND(AB145,2)</f>
        <v>1061562.58</v>
      </c>
      <c r="P145" s="2">
        <f t="shared" si="150"/>
        <v>742317.05</v>
      </c>
      <c r="Q145" s="2">
        <f t="shared" si="150"/>
        <v>19083.95</v>
      </c>
      <c r="R145" s="2">
        <f t="shared" si="150"/>
        <v>1898.35</v>
      </c>
      <c r="S145" s="2">
        <f t="shared" si="150"/>
        <v>300161.58</v>
      </c>
      <c r="T145" s="2">
        <f t="shared" si="150"/>
        <v>0</v>
      </c>
      <c r="U145" s="2">
        <f>AH145</f>
        <v>1859.1791249999997</v>
      </c>
      <c r="V145" s="2">
        <f>AI145</f>
        <v>7.878125</v>
      </c>
      <c r="W145" s="2">
        <f>ROUND(AJ145,2)</f>
        <v>0</v>
      </c>
      <c r="X145" s="2">
        <f>ROUND(AK145,2)</f>
        <v>304806.53</v>
      </c>
      <c r="Y145" s="2">
        <f>ROUND(AL145,2)</f>
        <v>185229.47</v>
      </c>
      <c r="Z145" s="2"/>
      <c r="AA145" s="2"/>
      <c r="AB145" s="2">
        <f>ROUND(SUMIF(AA136:AA143,"=51669678",O136:O143),2)</f>
        <v>1061562.58</v>
      </c>
      <c r="AC145" s="2">
        <f>ROUND(SUMIF(AA136:AA143,"=51669678",P136:P143),2)</f>
        <v>742317.05</v>
      </c>
      <c r="AD145" s="2">
        <f>ROUND(SUMIF(AA136:AA143,"=51669678",Q136:Q143),2)</f>
        <v>19083.95</v>
      </c>
      <c r="AE145" s="2">
        <f>ROUND(SUMIF(AA136:AA143,"=51669678",R136:R143),2)</f>
        <v>1898.35</v>
      </c>
      <c r="AF145" s="2">
        <f>ROUND(SUMIF(AA136:AA143,"=51669678",S136:S143),2)</f>
        <v>300161.58</v>
      </c>
      <c r="AG145" s="2">
        <f>ROUND(SUMIF(AA136:AA143,"=51669678",T136:T143),2)</f>
        <v>0</v>
      </c>
      <c r="AH145" s="2">
        <f>SUMIF(AA136:AA143,"=51669678",U136:U143)</f>
        <v>1859.1791249999997</v>
      </c>
      <c r="AI145" s="2">
        <f>SUMIF(AA136:AA143,"=51669678",V136:V143)</f>
        <v>7.878125</v>
      </c>
      <c r="AJ145" s="2">
        <f>ROUND(SUMIF(AA136:AA143,"=51669678",W136:W143),2)</f>
        <v>0</v>
      </c>
      <c r="AK145" s="2">
        <f>ROUND(SUMIF(AA136:AA143,"=51669678",X136:X143),2)</f>
        <v>304806.53</v>
      </c>
      <c r="AL145" s="2">
        <f>ROUND(SUMIF(AA136:AA143,"=51669678",Y136:Y143),2)</f>
        <v>185229.47</v>
      </c>
      <c r="AM145" s="2"/>
      <c r="AN145" s="2"/>
      <c r="AO145" s="2">
        <f aca="true" t="shared" si="151" ref="AO145:BC145">ROUND(BX145,2)</f>
        <v>0</v>
      </c>
      <c r="AP145" s="2">
        <f t="shared" si="151"/>
        <v>0</v>
      </c>
      <c r="AQ145" s="2">
        <f t="shared" si="151"/>
        <v>0</v>
      </c>
      <c r="AR145" s="2">
        <f t="shared" si="151"/>
        <v>1551598.58</v>
      </c>
      <c r="AS145" s="2">
        <f t="shared" si="151"/>
        <v>1434175.71</v>
      </c>
      <c r="AT145" s="2">
        <f t="shared" si="151"/>
        <v>0</v>
      </c>
      <c r="AU145" s="2">
        <f t="shared" si="151"/>
        <v>117422.87</v>
      </c>
      <c r="AV145" s="2">
        <f t="shared" si="151"/>
        <v>742317.05</v>
      </c>
      <c r="AW145" s="2">
        <f t="shared" si="151"/>
        <v>742317.05</v>
      </c>
      <c r="AX145" s="2">
        <f t="shared" si="151"/>
        <v>0</v>
      </c>
      <c r="AY145" s="2">
        <f t="shared" si="151"/>
        <v>742317.05</v>
      </c>
      <c r="AZ145" s="2">
        <f t="shared" si="151"/>
        <v>0</v>
      </c>
      <c r="BA145" s="2">
        <f t="shared" si="151"/>
        <v>0</v>
      </c>
      <c r="BB145" s="2">
        <f t="shared" si="151"/>
        <v>0</v>
      </c>
      <c r="BC145" s="2">
        <f t="shared" si="151"/>
        <v>0</v>
      </c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>
        <f>ROUND(SUMIF(AA136:AA143,"=51669678",FQ136:FQ143),2)</f>
        <v>0</v>
      </c>
      <c r="BY145" s="2">
        <f>ROUND(SUMIF(AA136:AA143,"=51669678",FR136:FR143),2)</f>
        <v>0</v>
      </c>
      <c r="BZ145" s="2">
        <f>ROUND(SUMIF(AA136:AA143,"=51669678",GL136:GL143),2)</f>
        <v>0</v>
      </c>
      <c r="CA145" s="2">
        <f>ROUND(SUMIF(AA136:AA143,"=51669678",GM136:GM143),2)</f>
        <v>1551598.58</v>
      </c>
      <c r="CB145" s="2">
        <f>ROUND(SUMIF(AA136:AA143,"=51669678",GN136:GN143),2)</f>
        <v>1434175.71</v>
      </c>
      <c r="CC145" s="2">
        <f>ROUND(SUMIF(AA136:AA143,"=51669678",GO136:GO143),2)</f>
        <v>0</v>
      </c>
      <c r="CD145" s="2">
        <f>ROUND(SUMIF(AA136:AA143,"=51669678",GP136:GP143),2)</f>
        <v>117422.87</v>
      </c>
      <c r="CE145" s="2">
        <f>AC145-BX145</f>
        <v>742317.05</v>
      </c>
      <c r="CF145" s="2">
        <f>AC145-BY145</f>
        <v>742317.05</v>
      </c>
      <c r="CG145" s="2">
        <f>BX145-BZ145</f>
        <v>0</v>
      </c>
      <c r="CH145" s="2">
        <f>AC145-BX145-BY145+BZ145</f>
        <v>742317.05</v>
      </c>
      <c r="CI145" s="2">
        <f>BY145-BZ145</f>
        <v>0</v>
      </c>
      <c r="CJ145" s="2">
        <f>ROUND(SUMIF(AA136:AA143,"=51669678",GX136:GX143),2)</f>
        <v>0</v>
      </c>
      <c r="CK145" s="2">
        <f>ROUND(SUMIF(AA136:AA143,"=51669678",GY136:GY143),2)</f>
        <v>0</v>
      </c>
      <c r="CL145" s="2">
        <f>ROUND(SUMIF(AA136:AA143,"=51669678",GZ136:GZ143),2)</f>
        <v>0</v>
      </c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>
        <v>0</v>
      </c>
    </row>
    <row r="147" spans="1:23" ht="12.75">
      <c r="A147" s="4">
        <v>50</v>
      </c>
      <c r="B147" s="4">
        <v>0</v>
      </c>
      <c r="C147" s="4">
        <v>0</v>
      </c>
      <c r="D147" s="4">
        <v>1</v>
      </c>
      <c r="E147" s="4">
        <v>201</v>
      </c>
      <c r="F147" s="4">
        <f>ROUND(Source!O145,O147)</f>
        <v>1061562.58</v>
      </c>
      <c r="G147" s="4" t="s">
        <v>79</v>
      </c>
      <c r="H147" s="4" t="s">
        <v>80</v>
      </c>
      <c r="I147" s="4"/>
      <c r="J147" s="4"/>
      <c r="K147" s="4">
        <v>201</v>
      </c>
      <c r="L147" s="4">
        <v>1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ht="12.75">
      <c r="A148" s="4">
        <v>50</v>
      </c>
      <c r="B148" s="4">
        <v>0</v>
      </c>
      <c r="C148" s="4">
        <v>0</v>
      </c>
      <c r="D148" s="4">
        <v>1</v>
      </c>
      <c r="E148" s="4">
        <v>202</v>
      </c>
      <c r="F148" s="4">
        <f>ROUND(Source!P145,O148)</f>
        <v>742317.05</v>
      </c>
      <c r="G148" s="4" t="s">
        <v>81</v>
      </c>
      <c r="H148" s="4" t="s">
        <v>82</v>
      </c>
      <c r="I148" s="4"/>
      <c r="J148" s="4"/>
      <c r="K148" s="4">
        <v>202</v>
      </c>
      <c r="L148" s="4">
        <v>2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ht="12.75">
      <c r="A149" s="4">
        <v>50</v>
      </c>
      <c r="B149" s="4">
        <v>0</v>
      </c>
      <c r="C149" s="4">
        <v>0</v>
      </c>
      <c r="D149" s="4">
        <v>1</v>
      </c>
      <c r="E149" s="4">
        <v>222</v>
      </c>
      <c r="F149" s="4">
        <f>ROUND(Source!AO145,O149)</f>
        <v>0</v>
      </c>
      <c r="G149" s="4" t="s">
        <v>83</v>
      </c>
      <c r="H149" s="4" t="s">
        <v>84</v>
      </c>
      <c r="I149" s="4"/>
      <c r="J149" s="4"/>
      <c r="K149" s="4">
        <v>222</v>
      </c>
      <c r="L149" s="4">
        <v>3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ht="12.75">
      <c r="A150" s="4">
        <v>50</v>
      </c>
      <c r="B150" s="4">
        <v>0</v>
      </c>
      <c r="C150" s="4">
        <v>0</v>
      </c>
      <c r="D150" s="4">
        <v>1</v>
      </c>
      <c r="E150" s="4">
        <v>225</v>
      </c>
      <c r="F150" s="4">
        <f>ROUND(Source!AV145,O150)</f>
        <v>742317.05</v>
      </c>
      <c r="G150" s="4" t="s">
        <v>85</v>
      </c>
      <c r="H150" s="4" t="s">
        <v>86</v>
      </c>
      <c r="I150" s="4"/>
      <c r="J150" s="4"/>
      <c r="K150" s="4">
        <v>225</v>
      </c>
      <c r="L150" s="4">
        <v>4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ht="12.75">
      <c r="A151" s="4">
        <v>50</v>
      </c>
      <c r="B151" s="4">
        <v>0</v>
      </c>
      <c r="C151" s="4">
        <v>0</v>
      </c>
      <c r="D151" s="4">
        <v>1</v>
      </c>
      <c r="E151" s="4">
        <v>226</v>
      </c>
      <c r="F151" s="4">
        <f>ROUND(Source!AW145,O151)</f>
        <v>742317.05</v>
      </c>
      <c r="G151" s="4" t="s">
        <v>87</v>
      </c>
      <c r="H151" s="4" t="s">
        <v>88</v>
      </c>
      <c r="I151" s="4"/>
      <c r="J151" s="4"/>
      <c r="K151" s="4">
        <v>226</v>
      </c>
      <c r="L151" s="4">
        <v>5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ht="12.75">
      <c r="A152" s="4">
        <v>50</v>
      </c>
      <c r="B152" s="4">
        <v>0</v>
      </c>
      <c r="C152" s="4">
        <v>0</v>
      </c>
      <c r="D152" s="4">
        <v>1</v>
      </c>
      <c r="E152" s="4">
        <v>227</v>
      </c>
      <c r="F152" s="4">
        <f>ROUND(Source!AX145,O152)</f>
        <v>0</v>
      </c>
      <c r="G152" s="4" t="s">
        <v>89</v>
      </c>
      <c r="H152" s="4" t="s">
        <v>90</v>
      </c>
      <c r="I152" s="4"/>
      <c r="J152" s="4"/>
      <c r="K152" s="4">
        <v>227</v>
      </c>
      <c r="L152" s="4">
        <v>6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ht="12.75">
      <c r="A153" s="4">
        <v>50</v>
      </c>
      <c r="B153" s="4">
        <v>0</v>
      </c>
      <c r="C153" s="4">
        <v>0</v>
      </c>
      <c r="D153" s="4">
        <v>1</v>
      </c>
      <c r="E153" s="4">
        <v>228</v>
      </c>
      <c r="F153" s="4">
        <f>ROUND(Source!AY145,O153)</f>
        <v>742317.05</v>
      </c>
      <c r="G153" s="4" t="s">
        <v>91</v>
      </c>
      <c r="H153" s="4" t="s">
        <v>92</v>
      </c>
      <c r="I153" s="4"/>
      <c r="J153" s="4"/>
      <c r="K153" s="4">
        <v>228</v>
      </c>
      <c r="L153" s="4">
        <v>7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ht="12.75">
      <c r="A154" s="4">
        <v>50</v>
      </c>
      <c r="B154" s="4">
        <v>0</v>
      </c>
      <c r="C154" s="4">
        <v>0</v>
      </c>
      <c r="D154" s="4">
        <v>1</v>
      </c>
      <c r="E154" s="4">
        <v>216</v>
      </c>
      <c r="F154" s="4">
        <f>ROUND(Source!AP145,O154)</f>
        <v>0</v>
      </c>
      <c r="G154" s="4" t="s">
        <v>93</v>
      </c>
      <c r="H154" s="4" t="s">
        <v>94</v>
      </c>
      <c r="I154" s="4"/>
      <c r="J154" s="4"/>
      <c r="K154" s="4">
        <v>216</v>
      </c>
      <c r="L154" s="4">
        <v>8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ht="12.75">
      <c r="A155" s="4">
        <v>50</v>
      </c>
      <c r="B155" s="4">
        <v>0</v>
      </c>
      <c r="C155" s="4">
        <v>0</v>
      </c>
      <c r="D155" s="4">
        <v>1</v>
      </c>
      <c r="E155" s="4">
        <v>223</v>
      </c>
      <c r="F155" s="4">
        <f>ROUND(Source!AQ145,O155)</f>
        <v>0</v>
      </c>
      <c r="G155" s="4" t="s">
        <v>95</v>
      </c>
      <c r="H155" s="4" t="s">
        <v>96</v>
      </c>
      <c r="I155" s="4"/>
      <c r="J155" s="4"/>
      <c r="K155" s="4">
        <v>223</v>
      </c>
      <c r="L155" s="4">
        <v>9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ht="12.75">
      <c r="A156" s="4">
        <v>50</v>
      </c>
      <c r="B156" s="4">
        <v>0</v>
      </c>
      <c r="C156" s="4">
        <v>0</v>
      </c>
      <c r="D156" s="4">
        <v>1</v>
      </c>
      <c r="E156" s="4">
        <v>229</v>
      </c>
      <c r="F156" s="4">
        <f>ROUND(Source!AZ145,O156)</f>
        <v>0</v>
      </c>
      <c r="G156" s="4" t="s">
        <v>97</v>
      </c>
      <c r="H156" s="4" t="s">
        <v>98</v>
      </c>
      <c r="I156" s="4"/>
      <c r="J156" s="4"/>
      <c r="K156" s="4">
        <v>229</v>
      </c>
      <c r="L156" s="4">
        <v>10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ht="12.75">
      <c r="A157" s="4">
        <v>50</v>
      </c>
      <c r="B157" s="4">
        <v>0</v>
      </c>
      <c r="C157" s="4">
        <v>0</v>
      </c>
      <c r="D157" s="4">
        <v>1</v>
      </c>
      <c r="E157" s="4">
        <v>203</v>
      </c>
      <c r="F157" s="4">
        <f>ROUND(Source!Q145,O157)</f>
        <v>19083.95</v>
      </c>
      <c r="G157" s="4" t="s">
        <v>99</v>
      </c>
      <c r="H157" s="4" t="s">
        <v>100</v>
      </c>
      <c r="I157" s="4"/>
      <c r="J157" s="4"/>
      <c r="K157" s="4">
        <v>203</v>
      </c>
      <c r="L157" s="4">
        <v>11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ht="12.75">
      <c r="A158" s="4">
        <v>50</v>
      </c>
      <c r="B158" s="4">
        <v>0</v>
      </c>
      <c r="C158" s="4">
        <v>0</v>
      </c>
      <c r="D158" s="4">
        <v>1</v>
      </c>
      <c r="E158" s="4">
        <v>231</v>
      </c>
      <c r="F158" s="4">
        <f>ROUND(Source!BB145,O158)</f>
        <v>0</v>
      </c>
      <c r="G158" s="4" t="s">
        <v>101</v>
      </c>
      <c r="H158" s="4" t="s">
        <v>102</v>
      </c>
      <c r="I158" s="4"/>
      <c r="J158" s="4"/>
      <c r="K158" s="4">
        <v>231</v>
      </c>
      <c r="L158" s="4">
        <v>12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ht="12.75">
      <c r="A159" s="4">
        <v>50</v>
      </c>
      <c r="B159" s="4">
        <v>0</v>
      </c>
      <c r="C159" s="4">
        <v>0</v>
      </c>
      <c r="D159" s="4">
        <v>1</v>
      </c>
      <c r="E159" s="4">
        <v>204</v>
      </c>
      <c r="F159" s="4">
        <f>ROUND(Source!R145,O159)</f>
        <v>1898.35</v>
      </c>
      <c r="G159" s="4" t="s">
        <v>103</v>
      </c>
      <c r="H159" s="4" t="s">
        <v>104</v>
      </c>
      <c r="I159" s="4"/>
      <c r="J159" s="4"/>
      <c r="K159" s="4">
        <v>204</v>
      </c>
      <c r="L159" s="4">
        <v>13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ht="12.75">
      <c r="A160" s="4">
        <v>50</v>
      </c>
      <c r="B160" s="4">
        <v>0</v>
      </c>
      <c r="C160" s="4">
        <v>0</v>
      </c>
      <c r="D160" s="4">
        <v>1</v>
      </c>
      <c r="E160" s="4">
        <v>205</v>
      </c>
      <c r="F160" s="4">
        <f>ROUND(Source!S145,O160)</f>
        <v>300161.58</v>
      </c>
      <c r="G160" s="4" t="s">
        <v>105</v>
      </c>
      <c r="H160" s="4" t="s">
        <v>106</v>
      </c>
      <c r="I160" s="4"/>
      <c r="J160" s="4"/>
      <c r="K160" s="4">
        <v>205</v>
      </c>
      <c r="L160" s="4">
        <v>14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ht="12.75">
      <c r="A161" s="4">
        <v>50</v>
      </c>
      <c r="B161" s="4">
        <v>0</v>
      </c>
      <c r="C161" s="4">
        <v>0</v>
      </c>
      <c r="D161" s="4">
        <v>1</v>
      </c>
      <c r="E161" s="4">
        <v>232</v>
      </c>
      <c r="F161" s="4">
        <f>ROUND(Source!BC145,O161)</f>
        <v>0</v>
      </c>
      <c r="G161" s="4" t="s">
        <v>107</v>
      </c>
      <c r="H161" s="4" t="s">
        <v>108</v>
      </c>
      <c r="I161" s="4"/>
      <c r="J161" s="4"/>
      <c r="K161" s="4">
        <v>232</v>
      </c>
      <c r="L161" s="4">
        <v>15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ht="12.75">
      <c r="A162" s="4">
        <v>50</v>
      </c>
      <c r="B162" s="4">
        <v>0</v>
      </c>
      <c r="C162" s="4">
        <v>0</v>
      </c>
      <c r="D162" s="4">
        <v>1</v>
      </c>
      <c r="E162" s="4">
        <v>214</v>
      </c>
      <c r="F162" s="4">
        <f>ROUND(Source!AS145,O162)</f>
        <v>1434175.71</v>
      </c>
      <c r="G162" s="4" t="s">
        <v>109</v>
      </c>
      <c r="H162" s="4" t="s">
        <v>110</v>
      </c>
      <c r="I162" s="4"/>
      <c r="J162" s="4"/>
      <c r="K162" s="4">
        <v>214</v>
      </c>
      <c r="L162" s="4">
        <v>16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ht="12.75">
      <c r="A163" s="4">
        <v>50</v>
      </c>
      <c r="B163" s="4">
        <v>0</v>
      </c>
      <c r="C163" s="4">
        <v>0</v>
      </c>
      <c r="D163" s="4">
        <v>1</v>
      </c>
      <c r="E163" s="4">
        <v>215</v>
      </c>
      <c r="F163" s="4">
        <f>ROUND(Source!AT145,O163)</f>
        <v>0</v>
      </c>
      <c r="G163" s="4" t="s">
        <v>111</v>
      </c>
      <c r="H163" s="4" t="s">
        <v>112</v>
      </c>
      <c r="I163" s="4"/>
      <c r="J163" s="4"/>
      <c r="K163" s="4">
        <v>215</v>
      </c>
      <c r="L163" s="4">
        <v>17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ht="12.75">
      <c r="A164" s="4">
        <v>50</v>
      </c>
      <c r="B164" s="4">
        <v>0</v>
      </c>
      <c r="C164" s="4">
        <v>0</v>
      </c>
      <c r="D164" s="4">
        <v>1</v>
      </c>
      <c r="E164" s="4">
        <v>217</v>
      </c>
      <c r="F164" s="4">
        <f>ROUND(Source!AU145,O164)</f>
        <v>117422.87</v>
      </c>
      <c r="G164" s="4" t="s">
        <v>113</v>
      </c>
      <c r="H164" s="4" t="s">
        <v>114</v>
      </c>
      <c r="I164" s="4"/>
      <c r="J164" s="4"/>
      <c r="K164" s="4">
        <v>217</v>
      </c>
      <c r="L164" s="4">
        <v>18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ht="12.75">
      <c r="A165" s="4">
        <v>50</v>
      </c>
      <c r="B165" s="4">
        <v>0</v>
      </c>
      <c r="C165" s="4">
        <v>0</v>
      </c>
      <c r="D165" s="4">
        <v>1</v>
      </c>
      <c r="E165" s="4">
        <v>230</v>
      </c>
      <c r="F165" s="4">
        <f>ROUND(Source!BA145,O165)</f>
        <v>0</v>
      </c>
      <c r="G165" s="4" t="s">
        <v>115</v>
      </c>
      <c r="H165" s="4" t="s">
        <v>116</v>
      </c>
      <c r="I165" s="4"/>
      <c r="J165" s="4"/>
      <c r="K165" s="4">
        <v>230</v>
      </c>
      <c r="L165" s="4">
        <v>19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ht="12.75">
      <c r="A166" s="4">
        <v>50</v>
      </c>
      <c r="B166" s="4">
        <v>0</v>
      </c>
      <c r="C166" s="4">
        <v>0</v>
      </c>
      <c r="D166" s="4">
        <v>1</v>
      </c>
      <c r="E166" s="4">
        <v>206</v>
      </c>
      <c r="F166" s="4">
        <f>ROUND(Source!T145,O166)</f>
        <v>0</v>
      </c>
      <c r="G166" s="4" t="s">
        <v>117</v>
      </c>
      <c r="H166" s="4" t="s">
        <v>118</v>
      </c>
      <c r="I166" s="4"/>
      <c r="J166" s="4"/>
      <c r="K166" s="4">
        <v>206</v>
      </c>
      <c r="L166" s="4">
        <v>20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ht="12.75">
      <c r="A167" s="4">
        <v>50</v>
      </c>
      <c r="B167" s="4">
        <v>0</v>
      </c>
      <c r="C167" s="4">
        <v>0</v>
      </c>
      <c r="D167" s="4">
        <v>1</v>
      </c>
      <c r="E167" s="4">
        <v>207</v>
      </c>
      <c r="F167" s="4">
        <f>Source!U145</f>
        <v>1859.1791249999997</v>
      </c>
      <c r="G167" s="4" t="s">
        <v>119</v>
      </c>
      <c r="H167" s="4" t="s">
        <v>120</v>
      </c>
      <c r="I167" s="4"/>
      <c r="J167" s="4"/>
      <c r="K167" s="4">
        <v>207</v>
      </c>
      <c r="L167" s="4">
        <v>21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/>
    </row>
    <row r="168" spans="1:23" ht="12.75">
      <c r="A168" s="4">
        <v>50</v>
      </c>
      <c r="B168" s="4">
        <v>0</v>
      </c>
      <c r="C168" s="4">
        <v>0</v>
      </c>
      <c r="D168" s="4">
        <v>1</v>
      </c>
      <c r="E168" s="4">
        <v>208</v>
      </c>
      <c r="F168" s="4">
        <f>Source!V145</f>
        <v>7.878125</v>
      </c>
      <c r="G168" s="4" t="s">
        <v>121</v>
      </c>
      <c r="H168" s="4" t="s">
        <v>122</v>
      </c>
      <c r="I168" s="4"/>
      <c r="J168" s="4"/>
      <c r="K168" s="4">
        <v>208</v>
      </c>
      <c r="L168" s="4">
        <v>22</v>
      </c>
      <c r="M168" s="4">
        <v>3</v>
      </c>
      <c r="N168" s="4" t="s">
        <v>3</v>
      </c>
      <c r="O168" s="4">
        <v>-1</v>
      </c>
      <c r="P168" s="4"/>
      <c r="Q168" s="4"/>
      <c r="R168" s="4"/>
      <c r="S168" s="4"/>
      <c r="T168" s="4"/>
      <c r="U168" s="4"/>
      <c r="V168" s="4"/>
      <c r="W168" s="4"/>
    </row>
    <row r="169" spans="1:23" ht="12.75">
      <c r="A169" s="4">
        <v>50</v>
      </c>
      <c r="B169" s="4">
        <v>0</v>
      </c>
      <c r="C169" s="4">
        <v>0</v>
      </c>
      <c r="D169" s="4">
        <v>1</v>
      </c>
      <c r="E169" s="4">
        <v>209</v>
      </c>
      <c r="F169" s="4">
        <f>ROUND(Source!W145,O169)</f>
        <v>0</v>
      </c>
      <c r="G169" s="4" t="s">
        <v>123</v>
      </c>
      <c r="H169" s="4" t="s">
        <v>124</v>
      </c>
      <c r="I169" s="4"/>
      <c r="J169" s="4"/>
      <c r="K169" s="4">
        <v>209</v>
      </c>
      <c r="L169" s="4">
        <v>23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ht="12.75">
      <c r="A170" s="4">
        <v>50</v>
      </c>
      <c r="B170" s="4">
        <v>0</v>
      </c>
      <c r="C170" s="4">
        <v>0</v>
      </c>
      <c r="D170" s="4">
        <v>1</v>
      </c>
      <c r="E170" s="4">
        <v>210</v>
      </c>
      <c r="F170" s="4">
        <f>ROUND(Source!X145,O170)</f>
        <v>304806.53</v>
      </c>
      <c r="G170" s="4" t="s">
        <v>125</v>
      </c>
      <c r="H170" s="4" t="s">
        <v>126</v>
      </c>
      <c r="I170" s="4"/>
      <c r="J170" s="4"/>
      <c r="K170" s="4">
        <v>210</v>
      </c>
      <c r="L170" s="4">
        <v>24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ht="12.75">
      <c r="A171" s="4">
        <v>50</v>
      </c>
      <c r="B171" s="4">
        <v>0</v>
      </c>
      <c r="C171" s="4">
        <v>0</v>
      </c>
      <c r="D171" s="4">
        <v>1</v>
      </c>
      <c r="E171" s="4">
        <v>211</v>
      </c>
      <c r="F171" s="4">
        <f>ROUND(Source!Y145,O171)</f>
        <v>185229.47</v>
      </c>
      <c r="G171" s="4" t="s">
        <v>127</v>
      </c>
      <c r="H171" s="4" t="s">
        <v>128</v>
      </c>
      <c r="I171" s="4"/>
      <c r="J171" s="4"/>
      <c r="K171" s="4">
        <v>211</v>
      </c>
      <c r="L171" s="4">
        <v>25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ht="12.75">
      <c r="A172" s="4">
        <v>50</v>
      </c>
      <c r="B172" s="4">
        <v>0</v>
      </c>
      <c r="C172" s="4">
        <v>0</v>
      </c>
      <c r="D172" s="4">
        <v>1</v>
      </c>
      <c r="E172" s="4">
        <v>224</v>
      </c>
      <c r="F172" s="4">
        <f>ROUND(Source!AR145,O172)</f>
        <v>1551598.58</v>
      </c>
      <c r="G172" s="4" t="s">
        <v>129</v>
      </c>
      <c r="H172" s="4" t="s">
        <v>130</v>
      </c>
      <c r="I172" s="4"/>
      <c r="J172" s="4"/>
      <c r="K172" s="4">
        <v>224</v>
      </c>
      <c r="L172" s="4">
        <v>26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4" spans="1:88" ht="12.75">
      <c r="A174" s="1">
        <v>5</v>
      </c>
      <c r="B174" s="1">
        <v>1</v>
      </c>
      <c r="C174" s="1"/>
      <c r="D174" s="1">
        <f>ROW(A202)</f>
        <v>202</v>
      </c>
      <c r="E174" s="1"/>
      <c r="F174" s="1" t="s">
        <v>132</v>
      </c>
      <c r="G174" s="1" t="s">
        <v>299</v>
      </c>
      <c r="H174" s="1" t="s">
        <v>3</v>
      </c>
      <c r="I174" s="1">
        <v>0</v>
      </c>
      <c r="J174" s="1"/>
      <c r="K174" s="1">
        <v>-1</v>
      </c>
      <c r="L174" s="1"/>
      <c r="M174" s="1"/>
      <c r="N174" s="1"/>
      <c r="O174" s="1"/>
      <c r="P174" s="1"/>
      <c r="Q174" s="1"/>
      <c r="R174" s="1"/>
      <c r="S174" s="1"/>
      <c r="T174" s="1"/>
      <c r="U174" s="1" t="s">
        <v>3</v>
      </c>
      <c r="V174" s="1">
        <v>0</v>
      </c>
      <c r="W174" s="1"/>
      <c r="X174" s="1"/>
      <c r="Y174" s="1"/>
      <c r="Z174" s="1"/>
      <c r="AA174" s="1"/>
      <c r="AB174" s="1" t="s">
        <v>3</v>
      </c>
      <c r="AC174" s="1" t="s">
        <v>3</v>
      </c>
      <c r="AD174" s="1" t="s">
        <v>3</v>
      </c>
      <c r="AE174" s="1" t="s">
        <v>3</v>
      </c>
      <c r="AF174" s="1" t="s">
        <v>3</v>
      </c>
      <c r="AG174" s="1" t="s">
        <v>3</v>
      </c>
      <c r="AH174" s="1"/>
      <c r="AI174" s="1"/>
      <c r="AJ174" s="1"/>
      <c r="AK174" s="1"/>
      <c r="AL174" s="1"/>
      <c r="AM174" s="1"/>
      <c r="AN174" s="1"/>
      <c r="AO174" s="1"/>
      <c r="AP174" s="1" t="s">
        <v>3</v>
      </c>
      <c r="AQ174" s="1" t="s">
        <v>3</v>
      </c>
      <c r="AR174" s="1" t="s">
        <v>3</v>
      </c>
      <c r="AS174" s="1"/>
      <c r="AT174" s="1"/>
      <c r="AU174" s="1"/>
      <c r="AV174" s="1"/>
      <c r="AW174" s="1"/>
      <c r="AX174" s="1"/>
      <c r="AY174" s="1"/>
      <c r="AZ174" s="1" t="s">
        <v>3</v>
      </c>
      <c r="BA174" s="1"/>
      <c r="BB174" s="1" t="s">
        <v>3</v>
      </c>
      <c r="BC174" s="1" t="s">
        <v>3</v>
      </c>
      <c r="BD174" s="1" t="s">
        <v>3</v>
      </c>
      <c r="BE174" s="1" t="s">
        <v>3</v>
      </c>
      <c r="BF174" s="1" t="s">
        <v>3</v>
      </c>
      <c r="BG174" s="1" t="s">
        <v>3</v>
      </c>
      <c r="BH174" s="1" t="s">
        <v>3</v>
      </c>
      <c r="BI174" s="1" t="s">
        <v>3</v>
      </c>
      <c r="BJ174" s="1" t="s">
        <v>3</v>
      </c>
      <c r="BK174" s="1" t="s">
        <v>3</v>
      </c>
      <c r="BL174" s="1" t="s">
        <v>3</v>
      </c>
      <c r="BM174" s="1" t="s">
        <v>3</v>
      </c>
      <c r="BN174" s="1" t="s">
        <v>3</v>
      </c>
      <c r="BO174" s="1" t="s">
        <v>3</v>
      </c>
      <c r="BP174" s="1" t="s">
        <v>3</v>
      </c>
      <c r="BQ174" s="1"/>
      <c r="BR174" s="1"/>
      <c r="BS174" s="1"/>
      <c r="BT174" s="1"/>
      <c r="BU174" s="1"/>
      <c r="BV174" s="1"/>
      <c r="BW174" s="1"/>
      <c r="BX174" s="1">
        <v>0</v>
      </c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>
        <v>0</v>
      </c>
    </row>
    <row r="176" spans="1:206" ht="12.75">
      <c r="A176" s="2">
        <v>52</v>
      </c>
      <c r="B176" s="2">
        <f aca="true" t="shared" si="152" ref="B176:G176">B202</f>
        <v>1</v>
      </c>
      <c r="C176" s="2">
        <f t="shared" si="152"/>
        <v>5</v>
      </c>
      <c r="D176" s="2">
        <f t="shared" si="152"/>
        <v>174</v>
      </c>
      <c r="E176" s="2">
        <f t="shared" si="152"/>
        <v>0</v>
      </c>
      <c r="F176" s="2" t="str">
        <f t="shared" si="152"/>
        <v>Новый подраздел</v>
      </c>
      <c r="G176" s="2" t="str">
        <f t="shared" si="152"/>
        <v>2.3. Устройство наружней водосточной системы</v>
      </c>
      <c r="H176" s="2"/>
      <c r="I176" s="2"/>
      <c r="J176" s="2"/>
      <c r="K176" s="2"/>
      <c r="L176" s="2"/>
      <c r="M176" s="2"/>
      <c r="N176" s="2"/>
      <c r="O176" s="2">
        <f aca="true" t="shared" si="153" ref="O176:AT176">O202</f>
        <v>88534.25</v>
      </c>
      <c r="P176" s="2">
        <f t="shared" si="153"/>
        <v>66064.66</v>
      </c>
      <c r="Q176" s="2">
        <f t="shared" si="153"/>
        <v>1781.51</v>
      </c>
      <c r="R176" s="2">
        <f t="shared" si="153"/>
        <v>110.66</v>
      </c>
      <c r="S176" s="2">
        <f t="shared" si="153"/>
        <v>20688.08</v>
      </c>
      <c r="T176" s="2">
        <f t="shared" si="153"/>
        <v>0</v>
      </c>
      <c r="U176" s="2">
        <f t="shared" si="153"/>
        <v>124.63892624999997</v>
      </c>
      <c r="V176" s="2">
        <f t="shared" si="153"/>
        <v>0.4578749999999999</v>
      </c>
      <c r="W176" s="2">
        <f t="shared" si="153"/>
        <v>0</v>
      </c>
      <c r="X176" s="2">
        <f t="shared" si="153"/>
        <v>23599.72</v>
      </c>
      <c r="Y176" s="2">
        <f t="shared" si="153"/>
        <v>14038.34</v>
      </c>
      <c r="Z176" s="2">
        <f t="shared" si="153"/>
        <v>0</v>
      </c>
      <c r="AA176" s="2">
        <f t="shared" si="153"/>
        <v>0</v>
      </c>
      <c r="AB176" s="2">
        <f t="shared" si="153"/>
        <v>88534.25</v>
      </c>
      <c r="AC176" s="2">
        <f t="shared" si="153"/>
        <v>66064.66</v>
      </c>
      <c r="AD176" s="2">
        <f t="shared" si="153"/>
        <v>1781.51</v>
      </c>
      <c r="AE176" s="2">
        <f t="shared" si="153"/>
        <v>110.66</v>
      </c>
      <c r="AF176" s="2">
        <f t="shared" si="153"/>
        <v>20688.08</v>
      </c>
      <c r="AG176" s="2">
        <f t="shared" si="153"/>
        <v>0</v>
      </c>
      <c r="AH176" s="2">
        <f t="shared" si="153"/>
        <v>124.63892624999997</v>
      </c>
      <c r="AI176" s="2">
        <f t="shared" si="153"/>
        <v>0.4578749999999999</v>
      </c>
      <c r="AJ176" s="2">
        <f t="shared" si="153"/>
        <v>0</v>
      </c>
      <c r="AK176" s="2">
        <f t="shared" si="153"/>
        <v>23599.72</v>
      </c>
      <c r="AL176" s="2">
        <f t="shared" si="153"/>
        <v>14038.34</v>
      </c>
      <c r="AM176" s="2">
        <f t="shared" si="153"/>
        <v>0</v>
      </c>
      <c r="AN176" s="2">
        <f t="shared" si="153"/>
        <v>0</v>
      </c>
      <c r="AO176" s="2">
        <f t="shared" si="153"/>
        <v>0</v>
      </c>
      <c r="AP176" s="2">
        <f t="shared" si="153"/>
        <v>0</v>
      </c>
      <c r="AQ176" s="2">
        <f t="shared" si="153"/>
        <v>0</v>
      </c>
      <c r="AR176" s="2">
        <f t="shared" si="153"/>
        <v>126172.31</v>
      </c>
      <c r="AS176" s="2">
        <f t="shared" si="153"/>
        <v>126172.31</v>
      </c>
      <c r="AT176" s="2">
        <f t="shared" si="153"/>
        <v>0</v>
      </c>
      <c r="AU176" s="2">
        <f aca="true" t="shared" si="154" ref="AU176:BZ176">AU202</f>
        <v>0</v>
      </c>
      <c r="AV176" s="2">
        <f t="shared" si="154"/>
        <v>66064.66</v>
      </c>
      <c r="AW176" s="2">
        <f t="shared" si="154"/>
        <v>66064.66</v>
      </c>
      <c r="AX176" s="2">
        <f t="shared" si="154"/>
        <v>0</v>
      </c>
      <c r="AY176" s="2">
        <f t="shared" si="154"/>
        <v>66064.66</v>
      </c>
      <c r="AZ176" s="2">
        <f t="shared" si="154"/>
        <v>0</v>
      </c>
      <c r="BA176" s="2">
        <f t="shared" si="154"/>
        <v>0</v>
      </c>
      <c r="BB176" s="2">
        <f t="shared" si="154"/>
        <v>0</v>
      </c>
      <c r="BC176" s="2">
        <f t="shared" si="154"/>
        <v>0</v>
      </c>
      <c r="BD176" s="2">
        <f t="shared" si="154"/>
        <v>0</v>
      </c>
      <c r="BE176" s="2">
        <f t="shared" si="154"/>
        <v>0</v>
      </c>
      <c r="BF176" s="2">
        <f t="shared" si="154"/>
        <v>0</v>
      </c>
      <c r="BG176" s="2">
        <f t="shared" si="154"/>
        <v>0</v>
      </c>
      <c r="BH176" s="2">
        <f t="shared" si="154"/>
        <v>0</v>
      </c>
      <c r="BI176" s="2">
        <f t="shared" si="154"/>
        <v>0</v>
      </c>
      <c r="BJ176" s="2">
        <f t="shared" si="154"/>
        <v>0</v>
      </c>
      <c r="BK176" s="2">
        <f t="shared" si="154"/>
        <v>0</v>
      </c>
      <c r="BL176" s="2">
        <f t="shared" si="154"/>
        <v>0</v>
      </c>
      <c r="BM176" s="2">
        <f t="shared" si="154"/>
        <v>0</v>
      </c>
      <c r="BN176" s="2">
        <f t="shared" si="154"/>
        <v>0</v>
      </c>
      <c r="BO176" s="2">
        <f t="shared" si="154"/>
        <v>0</v>
      </c>
      <c r="BP176" s="2">
        <f t="shared" si="154"/>
        <v>0</v>
      </c>
      <c r="BQ176" s="2">
        <f t="shared" si="154"/>
        <v>0</v>
      </c>
      <c r="BR176" s="2">
        <f t="shared" si="154"/>
        <v>0</v>
      </c>
      <c r="BS176" s="2">
        <f t="shared" si="154"/>
        <v>0</v>
      </c>
      <c r="BT176" s="2">
        <f t="shared" si="154"/>
        <v>0</v>
      </c>
      <c r="BU176" s="2">
        <f t="shared" si="154"/>
        <v>0</v>
      </c>
      <c r="BV176" s="2">
        <f t="shared" si="154"/>
        <v>0</v>
      </c>
      <c r="BW176" s="2">
        <f t="shared" si="154"/>
        <v>0</v>
      </c>
      <c r="BX176" s="2">
        <f t="shared" si="154"/>
        <v>0</v>
      </c>
      <c r="BY176" s="2">
        <f t="shared" si="154"/>
        <v>0</v>
      </c>
      <c r="BZ176" s="2">
        <f t="shared" si="154"/>
        <v>0</v>
      </c>
      <c r="CA176" s="2">
        <f aca="true" t="shared" si="155" ref="CA176:DF176">CA202</f>
        <v>126172.31</v>
      </c>
      <c r="CB176" s="2">
        <f t="shared" si="155"/>
        <v>126172.31</v>
      </c>
      <c r="CC176" s="2">
        <f t="shared" si="155"/>
        <v>0</v>
      </c>
      <c r="CD176" s="2">
        <f t="shared" si="155"/>
        <v>0</v>
      </c>
      <c r="CE176" s="2">
        <f t="shared" si="155"/>
        <v>66064.66</v>
      </c>
      <c r="CF176" s="2">
        <f t="shared" si="155"/>
        <v>66064.66</v>
      </c>
      <c r="CG176" s="2">
        <f t="shared" si="155"/>
        <v>0</v>
      </c>
      <c r="CH176" s="2">
        <f t="shared" si="155"/>
        <v>66064.66</v>
      </c>
      <c r="CI176" s="2">
        <f t="shared" si="155"/>
        <v>0</v>
      </c>
      <c r="CJ176" s="2">
        <f t="shared" si="155"/>
        <v>0</v>
      </c>
      <c r="CK176" s="2">
        <f t="shared" si="155"/>
        <v>0</v>
      </c>
      <c r="CL176" s="2">
        <f t="shared" si="155"/>
        <v>0</v>
      </c>
      <c r="CM176" s="2">
        <f t="shared" si="155"/>
        <v>0</v>
      </c>
      <c r="CN176" s="2">
        <f t="shared" si="155"/>
        <v>0</v>
      </c>
      <c r="CO176" s="2">
        <f t="shared" si="155"/>
        <v>0</v>
      </c>
      <c r="CP176" s="2">
        <f t="shared" si="155"/>
        <v>0</v>
      </c>
      <c r="CQ176" s="2">
        <f t="shared" si="155"/>
        <v>0</v>
      </c>
      <c r="CR176" s="2">
        <f t="shared" si="155"/>
        <v>0</v>
      </c>
      <c r="CS176" s="2">
        <f t="shared" si="155"/>
        <v>0</v>
      </c>
      <c r="CT176" s="2">
        <f t="shared" si="155"/>
        <v>0</v>
      </c>
      <c r="CU176" s="2">
        <f t="shared" si="155"/>
        <v>0</v>
      </c>
      <c r="CV176" s="2">
        <f t="shared" si="155"/>
        <v>0</v>
      </c>
      <c r="CW176" s="2">
        <f t="shared" si="155"/>
        <v>0</v>
      </c>
      <c r="CX176" s="2">
        <f t="shared" si="155"/>
        <v>0</v>
      </c>
      <c r="CY176" s="2">
        <f t="shared" si="155"/>
        <v>0</v>
      </c>
      <c r="CZ176" s="2">
        <f t="shared" si="155"/>
        <v>0</v>
      </c>
      <c r="DA176" s="2">
        <f t="shared" si="155"/>
        <v>0</v>
      </c>
      <c r="DB176" s="2">
        <f t="shared" si="155"/>
        <v>0</v>
      </c>
      <c r="DC176" s="2">
        <f t="shared" si="155"/>
        <v>0</v>
      </c>
      <c r="DD176" s="2">
        <f t="shared" si="155"/>
        <v>0</v>
      </c>
      <c r="DE176" s="2">
        <f t="shared" si="155"/>
        <v>0</v>
      </c>
      <c r="DF176" s="2">
        <f t="shared" si="155"/>
        <v>0</v>
      </c>
      <c r="DG176" s="3">
        <f aca="true" t="shared" si="156" ref="DG176:EL176">DG202</f>
        <v>0</v>
      </c>
      <c r="DH176" s="3">
        <f t="shared" si="156"/>
        <v>0</v>
      </c>
      <c r="DI176" s="3">
        <f t="shared" si="156"/>
        <v>0</v>
      </c>
      <c r="DJ176" s="3">
        <f t="shared" si="156"/>
        <v>0</v>
      </c>
      <c r="DK176" s="3">
        <f t="shared" si="156"/>
        <v>0</v>
      </c>
      <c r="DL176" s="3">
        <f t="shared" si="156"/>
        <v>0</v>
      </c>
      <c r="DM176" s="3">
        <f t="shared" si="156"/>
        <v>0</v>
      </c>
      <c r="DN176" s="3">
        <f t="shared" si="156"/>
        <v>0</v>
      </c>
      <c r="DO176" s="3">
        <f t="shared" si="156"/>
        <v>0</v>
      </c>
      <c r="DP176" s="3">
        <f t="shared" si="156"/>
        <v>0</v>
      </c>
      <c r="DQ176" s="3">
        <f t="shared" si="156"/>
        <v>0</v>
      </c>
      <c r="DR176" s="3">
        <f t="shared" si="156"/>
        <v>0</v>
      </c>
      <c r="DS176" s="3">
        <f t="shared" si="156"/>
        <v>0</v>
      </c>
      <c r="DT176" s="3">
        <f t="shared" si="156"/>
        <v>0</v>
      </c>
      <c r="DU176" s="3">
        <f t="shared" si="156"/>
        <v>0</v>
      </c>
      <c r="DV176" s="3">
        <f t="shared" si="156"/>
        <v>0</v>
      </c>
      <c r="DW176" s="3">
        <f t="shared" si="156"/>
        <v>0</v>
      </c>
      <c r="DX176" s="3">
        <f t="shared" si="156"/>
        <v>0</v>
      </c>
      <c r="DY176" s="3">
        <f t="shared" si="156"/>
        <v>0</v>
      </c>
      <c r="DZ176" s="3">
        <f t="shared" si="156"/>
        <v>0</v>
      </c>
      <c r="EA176" s="3">
        <f t="shared" si="156"/>
        <v>0</v>
      </c>
      <c r="EB176" s="3">
        <f t="shared" si="156"/>
        <v>0</v>
      </c>
      <c r="EC176" s="3">
        <f t="shared" si="156"/>
        <v>0</v>
      </c>
      <c r="ED176" s="3">
        <f t="shared" si="156"/>
        <v>0</v>
      </c>
      <c r="EE176" s="3">
        <f t="shared" si="156"/>
        <v>0</v>
      </c>
      <c r="EF176" s="3">
        <f t="shared" si="156"/>
        <v>0</v>
      </c>
      <c r="EG176" s="3">
        <f t="shared" si="156"/>
        <v>0</v>
      </c>
      <c r="EH176" s="3">
        <f t="shared" si="156"/>
        <v>0</v>
      </c>
      <c r="EI176" s="3">
        <f t="shared" si="156"/>
        <v>0</v>
      </c>
      <c r="EJ176" s="3">
        <f t="shared" si="156"/>
        <v>0</v>
      </c>
      <c r="EK176" s="3">
        <f t="shared" si="156"/>
        <v>0</v>
      </c>
      <c r="EL176" s="3">
        <f t="shared" si="156"/>
        <v>0</v>
      </c>
      <c r="EM176" s="3">
        <f aca="true" t="shared" si="157" ref="EM176:FR176">EM202</f>
        <v>0</v>
      </c>
      <c r="EN176" s="3">
        <f t="shared" si="157"/>
        <v>0</v>
      </c>
      <c r="EO176" s="3">
        <f t="shared" si="157"/>
        <v>0</v>
      </c>
      <c r="EP176" s="3">
        <f t="shared" si="157"/>
        <v>0</v>
      </c>
      <c r="EQ176" s="3">
        <f t="shared" si="157"/>
        <v>0</v>
      </c>
      <c r="ER176" s="3">
        <f t="shared" si="157"/>
        <v>0</v>
      </c>
      <c r="ES176" s="3">
        <f t="shared" si="157"/>
        <v>0</v>
      </c>
      <c r="ET176" s="3">
        <f t="shared" si="157"/>
        <v>0</v>
      </c>
      <c r="EU176" s="3">
        <f t="shared" si="157"/>
        <v>0</v>
      </c>
      <c r="EV176" s="3">
        <f t="shared" si="157"/>
        <v>0</v>
      </c>
      <c r="EW176" s="3">
        <f t="shared" si="157"/>
        <v>0</v>
      </c>
      <c r="EX176" s="3">
        <f t="shared" si="157"/>
        <v>0</v>
      </c>
      <c r="EY176" s="3">
        <f t="shared" si="157"/>
        <v>0</v>
      </c>
      <c r="EZ176" s="3">
        <f t="shared" si="157"/>
        <v>0</v>
      </c>
      <c r="FA176" s="3">
        <f t="shared" si="157"/>
        <v>0</v>
      </c>
      <c r="FB176" s="3">
        <f t="shared" si="157"/>
        <v>0</v>
      </c>
      <c r="FC176" s="3">
        <f t="shared" si="157"/>
        <v>0</v>
      </c>
      <c r="FD176" s="3">
        <f t="shared" si="157"/>
        <v>0</v>
      </c>
      <c r="FE176" s="3">
        <f t="shared" si="157"/>
        <v>0</v>
      </c>
      <c r="FF176" s="3">
        <f t="shared" si="157"/>
        <v>0</v>
      </c>
      <c r="FG176" s="3">
        <f t="shared" si="157"/>
        <v>0</v>
      </c>
      <c r="FH176" s="3">
        <f t="shared" si="157"/>
        <v>0</v>
      </c>
      <c r="FI176" s="3">
        <f t="shared" si="157"/>
        <v>0</v>
      </c>
      <c r="FJ176" s="3">
        <f t="shared" si="157"/>
        <v>0</v>
      </c>
      <c r="FK176" s="3">
        <f t="shared" si="157"/>
        <v>0</v>
      </c>
      <c r="FL176" s="3">
        <f t="shared" si="157"/>
        <v>0</v>
      </c>
      <c r="FM176" s="3">
        <f t="shared" si="157"/>
        <v>0</v>
      </c>
      <c r="FN176" s="3">
        <f t="shared" si="157"/>
        <v>0</v>
      </c>
      <c r="FO176" s="3">
        <f t="shared" si="157"/>
        <v>0</v>
      </c>
      <c r="FP176" s="3">
        <f t="shared" si="157"/>
        <v>0</v>
      </c>
      <c r="FQ176" s="3">
        <f t="shared" si="157"/>
        <v>0</v>
      </c>
      <c r="FR176" s="3">
        <f t="shared" si="157"/>
        <v>0</v>
      </c>
      <c r="FS176" s="3">
        <f aca="true" t="shared" si="158" ref="FS176:GX176">FS202</f>
        <v>0</v>
      </c>
      <c r="FT176" s="3">
        <f t="shared" si="158"/>
        <v>0</v>
      </c>
      <c r="FU176" s="3">
        <f t="shared" si="158"/>
        <v>0</v>
      </c>
      <c r="FV176" s="3">
        <f t="shared" si="158"/>
        <v>0</v>
      </c>
      <c r="FW176" s="3">
        <f t="shared" si="158"/>
        <v>0</v>
      </c>
      <c r="FX176" s="3">
        <f t="shared" si="158"/>
        <v>0</v>
      </c>
      <c r="FY176" s="3">
        <f t="shared" si="158"/>
        <v>0</v>
      </c>
      <c r="FZ176" s="3">
        <f t="shared" si="158"/>
        <v>0</v>
      </c>
      <c r="GA176" s="3">
        <f t="shared" si="158"/>
        <v>0</v>
      </c>
      <c r="GB176" s="3">
        <f t="shared" si="158"/>
        <v>0</v>
      </c>
      <c r="GC176" s="3">
        <f t="shared" si="158"/>
        <v>0</v>
      </c>
      <c r="GD176" s="3">
        <f t="shared" si="158"/>
        <v>0</v>
      </c>
      <c r="GE176" s="3">
        <f t="shared" si="158"/>
        <v>0</v>
      </c>
      <c r="GF176" s="3">
        <f t="shared" si="158"/>
        <v>0</v>
      </c>
      <c r="GG176" s="3">
        <f t="shared" si="158"/>
        <v>0</v>
      </c>
      <c r="GH176" s="3">
        <f t="shared" si="158"/>
        <v>0</v>
      </c>
      <c r="GI176" s="3">
        <f t="shared" si="158"/>
        <v>0</v>
      </c>
      <c r="GJ176" s="3">
        <f t="shared" si="158"/>
        <v>0</v>
      </c>
      <c r="GK176" s="3">
        <f t="shared" si="158"/>
        <v>0</v>
      </c>
      <c r="GL176" s="3">
        <f t="shared" si="158"/>
        <v>0</v>
      </c>
      <c r="GM176" s="3">
        <f t="shared" si="158"/>
        <v>0</v>
      </c>
      <c r="GN176" s="3">
        <f t="shared" si="158"/>
        <v>0</v>
      </c>
      <c r="GO176" s="3">
        <f t="shared" si="158"/>
        <v>0</v>
      </c>
      <c r="GP176" s="3">
        <f t="shared" si="158"/>
        <v>0</v>
      </c>
      <c r="GQ176" s="3">
        <f t="shared" si="158"/>
        <v>0</v>
      </c>
      <c r="GR176" s="3">
        <f t="shared" si="158"/>
        <v>0</v>
      </c>
      <c r="GS176" s="3">
        <f t="shared" si="158"/>
        <v>0</v>
      </c>
      <c r="GT176" s="3">
        <f t="shared" si="158"/>
        <v>0</v>
      </c>
      <c r="GU176" s="3">
        <f t="shared" si="158"/>
        <v>0</v>
      </c>
      <c r="GV176" s="3">
        <f t="shared" si="158"/>
        <v>0</v>
      </c>
      <c r="GW176" s="3">
        <f t="shared" si="158"/>
        <v>0</v>
      </c>
      <c r="GX176" s="3">
        <f t="shared" si="158"/>
        <v>0</v>
      </c>
    </row>
    <row r="178" spans="1:245" ht="12.75">
      <c r="A178">
        <v>17</v>
      </c>
      <c r="B178">
        <v>1</v>
      </c>
      <c r="C178">
        <f>ROW(SmtRes!A188)</f>
        <v>188</v>
      </c>
      <c r="D178">
        <f>ROW(EtalonRes!A165)</f>
        <v>165</v>
      </c>
      <c r="E178" t="s">
        <v>300</v>
      </c>
      <c r="F178" t="s">
        <v>301</v>
      </c>
      <c r="G178" t="s">
        <v>302</v>
      </c>
      <c r="H178" t="s">
        <v>303</v>
      </c>
      <c r="I178">
        <f>ROUND(3*(17+4)/100,9)</f>
        <v>0.63</v>
      </c>
      <c r="J178">
        <v>0</v>
      </c>
      <c r="O178">
        <f aca="true" t="shared" si="159" ref="O178:O200">ROUND(CP178,2)</f>
        <v>27078.08</v>
      </c>
      <c r="P178">
        <f aca="true" t="shared" si="160" ref="P178:P200">ROUND(CQ178*I178,2)</f>
        <v>22366.86</v>
      </c>
      <c r="Q178">
        <f aca="true" t="shared" si="161" ref="Q178:Q200">ROUND(CR178*I178,2)</f>
        <v>194.32</v>
      </c>
      <c r="R178">
        <f aca="true" t="shared" si="162" ref="R178:R200">ROUND(CS178*I178,2)</f>
        <v>37.92</v>
      </c>
      <c r="S178">
        <f aca="true" t="shared" si="163" ref="S178:S200">ROUND(CT178*I178,2)</f>
        <v>4516.9</v>
      </c>
      <c r="T178">
        <f aca="true" t="shared" si="164" ref="T178:T200">ROUND(CU178*I178,2)</f>
        <v>0</v>
      </c>
      <c r="U178">
        <f aca="true" t="shared" si="165" ref="U178:U200">CV178*I178</f>
        <v>28.44568125</v>
      </c>
      <c r="V178">
        <f aca="true" t="shared" si="166" ref="V178:V200">CW178*I178</f>
        <v>0.1575</v>
      </c>
      <c r="W178">
        <f aca="true" t="shared" si="167" ref="W178:W200">ROUND(CX178*I178,2)</f>
        <v>0</v>
      </c>
      <c r="X178">
        <f aca="true" t="shared" si="168" ref="X178:X200">ROUND(CY178,2)</f>
        <v>4919.21</v>
      </c>
      <c r="Y178">
        <f aca="true" t="shared" si="169" ref="Y178:Y200">ROUND(CZ178,2)</f>
        <v>2505.15</v>
      </c>
      <c r="AA178">
        <v>51669678</v>
      </c>
      <c r="AB178">
        <f aca="true" t="shared" si="170" ref="AB178:AB200">ROUND((AC178+AD178+AF178),2)</f>
        <v>6916.18</v>
      </c>
      <c r="AC178">
        <f aca="true" t="shared" si="171" ref="AC178:AC200">ROUND((ES178),2)</f>
        <v>6142.38</v>
      </c>
      <c r="AD178">
        <f>ROUND((((((ET178*1.25)*1.25))-(((EU178*1.25)*1.25)))+AE178),2)</f>
        <v>43.69</v>
      </c>
      <c r="AE178">
        <f>ROUND((((EU178*1.25)*1.25)),2)</f>
        <v>6.13</v>
      </c>
      <c r="AF178">
        <f>ROUND((((EV178*1.15)*1.25)),2)</f>
        <v>730.11</v>
      </c>
      <c r="AG178">
        <f aca="true" t="shared" si="172" ref="AG178:AG200">ROUND((AP178),2)</f>
        <v>0</v>
      </c>
      <c r="AH178">
        <f>(((EW178*1.15)*1.25))</f>
        <v>45.151875</v>
      </c>
      <c r="AI178">
        <f>(((EX178*1.25)*1.25))</f>
        <v>0.25</v>
      </c>
      <c r="AJ178">
        <f aca="true" t="shared" si="173" ref="AJ178:AJ200">(AS178)</f>
        <v>0</v>
      </c>
      <c r="AK178">
        <v>6678.24</v>
      </c>
      <c r="AL178">
        <v>6142.38</v>
      </c>
      <c r="AM178">
        <v>27.96</v>
      </c>
      <c r="AN178">
        <v>3.92</v>
      </c>
      <c r="AO178">
        <v>507.9</v>
      </c>
      <c r="AP178">
        <v>0</v>
      </c>
      <c r="AQ178">
        <v>31.41</v>
      </c>
      <c r="AR178">
        <v>0.16</v>
      </c>
      <c r="AS178">
        <v>0</v>
      </c>
      <c r="AT178">
        <v>108</v>
      </c>
      <c r="AU178">
        <v>55</v>
      </c>
      <c r="AV178">
        <v>1</v>
      </c>
      <c r="AW178">
        <v>1</v>
      </c>
      <c r="AZ178">
        <v>1</v>
      </c>
      <c r="BA178">
        <v>9.82</v>
      </c>
      <c r="BB178">
        <v>7.06</v>
      </c>
      <c r="BC178">
        <v>5.78</v>
      </c>
      <c r="BH178">
        <v>0</v>
      </c>
      <c r="BI178">
        <v>1</v>
      </c>
      <c r="BJ178" t="s">
        <v>304</v>
      </c>
      <c r="BM178">
        <v>12001</v>
      </c>
      <c r="BN178">
        <v>0</v>
      </c>
      <c r="BO178" t="s">
        <v>301</v>
      </c>
      <c r="BP178">
        <v>1</v>
      </c>
      <c r="BQ178">
        <v>2</v>
      </c>
      <c r="BR178">
        <v>0</v>
      </c>
      <c r="BS178">
        <v>9.82</v>
      </c>
      <c r="BT178">
        <v>1</v>
      </c>
      <c r="BU178">
        <v>1</v>
      </c>
      <c r="BV178">
        <v>1</v>
      </c>
      <c r="BW178">
        <v>1</v>
      </c>
      <c r="BX178">
        <v>1</v>
      </c>
      <c r="BZ178">
        <v>120</v>
      </c>
      <c r="CA178">
        <v>65</v>
      </c>
      <c r="CE178">
        <v>0</v>
      </c>
      <c r="CF178">
        <v>0</v>
      </c>
      <c r="CG178">
        <v>0</v>
      </c>
      <c r="CM178">
        <v>0</v>
      </c>
      <c r="CN178" t="s">
        <v>721</v>
      </c>
      <c r="CO178">
        <v>0</v>
      </c>
      <c r="CP178">
        <f aca="true" t="shared" si="174" ref="CP178:CP200">(P178+Q178+S178)</f>
        <v>27078.08</v>
      </c>
      <c r="CQ178">
        <f aca="true" t="shared" si="175" ref="CQ178:CQ200">AC178*BC178</f>
        <v>35502.9564</v>
      </c>
      <c r="CR178">
        <f aca="true" t="shared" si="176" ref="CR178:CR200">AD178*BB178</f>
        <v>308.4514</v>
      </c>
      <c r="CS178">
        <f aca="true" t="shared" si="177" ref="CS178:CS200">AE178*BS178</f>
        <v>60.196600000000004</v>
      </c>
      <c r="CT178">
        <f aca="true" t="shared" si="178" ref="CT178:CT200">AF178*BA178</f>
        <v>7169.680200000001</v>
      </c>
      <c r="CU178">
        <f aca="true" t="shared" si="179" ref="CU178:CU200">AG178</f>
        <v>0</v>
      </c>
      <c r="CV178">
        <f aca="true" t="shared" si="180" ref="CV178:CV200">AH178</f>
        <v>45.151875</v>
      </c>
      <c r="CW178">
        <f aca="true" t="shared" si="181" ref="CW178:CW200">AI178</f>
        <v>0.25</v>
      </c>
      <c r="CX178">
        <f aca="true" t="shared" si="182" ref="CX178:CX200">AJ178</f>
        <v>0</v>
      </c>
      <c r="CY178">
        <f aca="true" t="shared" si="183" ref="CY178:CY200">(((S178+R178)*AT178)/100)</f>
        <v>4919.205599999999</v>
      </c>
      <c r="CZ178">
        <f aca="true" t="shared" si="184" ref="CZ178:CZ200">(((S178+R178)*AU178)/100)</f>
        <v>2505.151</v>
      </c>
      <c r="DE178" t="s">
        <v>139</v>
      </c>
      <c r="DF178" t="s">
        <v>139</v>
      </c>
      <c r="DG178" t="s">
        <v>140</v>
      </c>
      <c r="DI178" t="s">
        <v>140</v>
      </c>
      <c r="DJ178" t="s">
        <v>139</v>
      </c>
      <c r="DN178">
        <v>0</v>
      </c>
      <c r="DO178">
        <v>0</v>
      </c>
      <c r="DP178">
        <v>1</v>
      </c>
      <c r="DQ178">
        <v>1</v>
      </c>
      <c r="DU178">
        <v>1013</v>
      </c>
      <c r="DV178" t="s">
        <v>303</v>
      </c>
      <c r="DW178" t="s">
        <v>303</v>
      </c>
      <c r="DX178">
        <v>1</v>
      </c>
      <c r="EE178">
        <v>48034390</v>
      </c>
      <c r="EF178">
        <v>2</v>
      </c>
      <c r="EG178" t="s">
        <v>20</v>
      </c>
      <c r="EH178">
        <v>0</v>
      </c>
      <c r="EJ178">
        <v>1</v>
      </c>
      <c r="EK178">
        <v>12001</v>
      </c>
      <c r="EL178" t="s">
        <v>172</v>
      </c>
      <c r="EM178" t="s">
        <v>173</v>
      </c>
      <c r="EO178" t="s">
        <v>143</v>
      </c>
      <c r="EQ178">
        <v>131584</v>
      </c>
      <c r="ER178">
        <v>6678.24</v>
      </c>
      <c r="ES178">
        <v>6142.38</v>
      </c>
      <c r="ET178">
        <v>27.96</v>
      </c>
      <c r="EU178">
        <v>3.92</v>
      </c>
      <c r="EV178">
        <v>507.9</v>
      </c>
      <c r="EW178">
        <v>31.41</v>
      </c>
      <c r="EX178">
        <v>0.16</v>
      </c>
      <c r="EY178">
        <v>0</v>
      </c>
      <c r="FQ178">
        <v>0</v>
      </c>
      <c r="FR178">
        <f aca="true" t="shared" si="185" ref="FR178:FR200">ROUND(IF(AND(BH178=3,BI178=3),P178,0),2)</f>
        <v>0</v>
      </c>
      <c r="FS178">
        <v>0</v>
      </c>
      <c r="FT178" t="s">
        <v>24</v>
      </c>
      <c r="FU178" t="s">
        <v>25</v>
      </c>
      <c r="FX178">
        <v>108</v>
      </c>
      <c r="FY178">
        <v>55.25</v>
      </c>
      <c r="GD178">
        <v>1</v>
      </c>
      <c r="GF178">
        <v>-988390156</v>
      </c>
      <c r="GG178">
        <v>2</v>
      </c>
      <c r="GH178">
        <v>1</v>
      </c>
      <c r="GI178">
        <v>2</v>
      </c>
      <c r="GJ178">
        <v>0</v>
      </c>
      <c r="GK178">
        <v>0</v>
      </c>
      <c r="GL178">
        <f aca="true" t="shared" si="186" ref="GL178:GL200">ROUND(IF(AND(BH178=3,BI178=3,FS178&lt;&gt;0),P178,0),2)</f>
        <v>0</v>
      </c>
      <c r="GM178">
        <f aca="true" t="shared" si="187" ref="GM178:GM200">ROUND(O178+X178+Y178,2)+GX178</f>
        <v>34502.44</v>
      </c>
      <c r="GN178">
        <f aca="true" t="shared" si="188" ref="GN178:GN200">IF(OR(BI178=0,BI178=1),ROUND(O178+X178+Y178,2),0)</f>
        <v>34502.44</v>
      </c>
      <c r="GO178">
        <f aca="true" t="shared" si="189" ref="GO178:GO200">IF(BI178=2,ROUND(O178+X178+Y178,2),0)</f>
        <v>0</v>
      </c>
      <c r="GP178">
        <f aca="true" t="shared" si="190" ref="GP178:GP200">IF(BI178=4,ROUND(O178+X178+Y178,2)+GX178,0)</f>
        <v>0</v>
      </c>
      <c r="GR178">
        <v>0</v>
      </c>
      <c r="GS178">
        <v>3</v>
      </c>
      <c r="GT178">
        <v>0</v>
      </c>
      <c r="GV178">
        <f aca="true" t="shared" si="191" ref="GV178:GV200">ROUND((GT178),2)</f>
        <v>0</v>
      </c>
      <c r="GW178">
        <v>1</v>
      </c>
      <c r="GX178">
        <f aca="true" t="shared" si="192" ref="GX178:GX200">ROUND(HC178*I178,2)</f>
        <v>0</v>
      </c>
      <c r="HA178">
        <v>0</v>
      </c>
      <c r="HB178">
        <v>0</v>
      </c>
      <c r="HC178">
        <f aca="true" t="shared" si="193" ref="HC178:HC200">GV178*GW178</f>
        <v>0</v>
      </c>
      <c r="IK178">
        <v>0</v>
      </c>
    </row>
    <row r="179" spans="1:245" ht="12.75">
      <c r="A179">
        <v>18</v>
      </c>
      <c r="B179">
        <v>1</v>
      </c>
      <c r="C179">
        <v>175</v>
      </c>
      <c r="E179" t="s">
        <v>305</v>
      </c>
      <c r="F179" t="s">
        <v>200</v>
      </c>
      <c r="G179" t="s">
        <v>306</v>
      </c>
      <c r="H179" t="s">
        <v>202</v>
      </c>
      <c r="I179">
        <f>I178*J179</f>
        <v>4</v>
      </c>
      <c r="J179">
        <v>6.349206349206349</v>
      </c>
      <c r="O179">
        <f t="shared" si="159"/>
        <v>2633.41</v>
      </c>
      <c r="P179">
        <f t="shared" si="160"/>
        <v>2633.41</v>
      </c>
      <c r="Q179">
        <f t="shared" si="161"/>
        <v>0</v>
      </c>
      <c r="R179">
        <f t="shared" si="162"/>
        <v>0</v>
      </c>
      <c r="S179">
        <f t="shared" si="163"/>
        <v>0</v>
      </c>
      <c r="T179">
        <f t="shared" si="164"/>
        <v>0</v>
      </c>
      <c r="U179">
        <f t="shared" si="165"/>
        <v>0</v>
      </c>
      <c r="V179">
        <f t="shared" si="166"/>
        <v>0</v>
      </c>
      <c r="W179">
        <f t="shared" si="167"/>
        <v>0</v>
      </c>
      <c r="X179">
        <f t="shared" si="168"/>
        <v>0</v>
      </c>
      <c r="Y179">
        <f t="shared" si="169"/>
        <v>0</v>
      </c>
      <c r="AA179">
        <v>51669678</v>
      </c>
      <c r="AB179">
        <f t="shared" si="170"/>
        <v>103.19</v>
      </c>
      <c r="AC179">
        <f t="shared" si="171"/>
        <v>103.19</v>
      </c>
      <c r="AD179">
        <f aca="true" t="shared" si="194" ref="AD179:AD193">ROUND((((ET179)-(EU179))+AE179),2)</f>
        <v>0</v>
      </c>
      <c r="AE179">
        <f aca="true" t="shared" si="195" ref="AE179:AE193">ROUND((EU179),2)</f>
        <v>0</v>
      </c>
      <c r="AF179">
        <f aca="true" t="shared" si="196" ref="AF179:AF193">ROUND((EV179),2)</f>
        <v>0</v>
      </c>
      <c r="AG179">
        <f t="shared" si="172"/>
        <v>0</v>
      </c>
      <c r="AH179">
        <f aca="true" t="shared" si="197" ref="AH179:AH193">(EW179)</f>
        <v>0</v>
      </c>
      <c r="AI179">
        <f aca="true" t="shared" si="198" ref="AI179:AI193">(EX179)</f>
        <v>0</v>
      </c>
      <c r="AJ179">
        <f t="shared" si="173"/>
        <v>0</v>
      </c>
      <c r="AK179">
        <v>103.19</v>
      </c>
      <c r="AL179">
        <v>103.19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6.38</v>
      </c>
      <c r="BH179">
        <v>3</v>
      </c>
      <c r="BI179">
        <v>1</v>
      </c>
      <c r="BM179">
        <v>900005</v>
      </c>
      <c r="BN179">
        <v>0</v>
      </c>
      <c r="BP179">
        <v>0</v>
      </c>
      <c r="BQ179">
        <v>8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0</v>
      </c>
      <c r="CA179">
        <v>0</v>
      </c>
      <c r="CE179">
        <v>0</v>
      </c>
      <c r="CF179">
        <v>0</v>
      </c>
      <c r="CG179">
        <v>0</v>
      </c>
      <c r="CM179">
        <v>0</v>
      </c>
      <c r="CO179">
        <v>0</v>
      </c>
      <c r="CP179">
        <f t="shared" si="174"/>
        <v>2633.41</v>
      </c>
      <c r="CQ179">
        <f t="shared" si="175"/>
        <v>658.3521999999999</v>
      </c>
      <c r="CR179">
        <f t="shared" si="176"/>
        <v>0</v>
      </c>
      <c r="CS179">
        <f t="shared" si="177"/>
        <v>0</v>
      </c>
      <c r="CT179">
        <f t="shared" si="178"/>
        <v>0</v>
      </c>
      <c r="CU179">
        <f t="shared" si="179"/>
        <v>0</v>
      </c>
      <c r="CV179">
        <f t="shared" si="180"/>
        <v>0</v>
      </c>
      <c r="CW179">
        <f t="shared" si="181"/>
        <v>0</v>
      </c>
      <c r="CX179">
        <f t="shared" si="182"/>
        <v>0</v>
      </c>
      <c r="CY179">
        <f t="shared" si="183"/>
        <v>0</v>
      </c>
      <c r="CZ179">
        <f t="shared" si="184"/>
        <v>0</v>
      </c>
      <c r="DN179">
        <v>0</v>
      </c>
      <c r="DO179">
        <v>0</v>
      </c>
      <c r="DP179">
        <v>1</v>
      </c>
      <c r="DQ179">
        <v>1</v>
      </c>
      <c r="DU179">
        <v>1010</v>
      </c>
      <c r="DV179" t="s">
        <v>202</v>
      </c>
      <c r="DW179" t="s">
        <v>202</v>
      </c>
      <c r="DX179">
        <v>1</v>
      </c>
      <c r="EE179">
        <v>48082719</v>
      </c>
      <c r="EF179">
        <v>8</v>
      </c>
      <c r="EG179" t="s">
        <v>151</v>
      </c>
      <c r="EH179">
        <v>0</v>
      </c>
      <c r="EJ179">
        <v>1</v>
      </c>
      <c r="EK179">
        <v>900005</v>
      </c>
      <c r="EL179" t="s">
        <v>260</v>
      </c>
      <c r="EM179" t="s">
        <v>261</v>
      </c>
      <c r="EQ179">
        <v>0</v>
      </c>
      <c r="ER179">
        <v>104.94</v>
      </c>
      <c r="ES179">
        <v>103.19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5</v>
      </c>
      <c r="FC179">
        <v>1</v>
      </c>
      <c r="FD179">
        <v>18</v>
      </c>
      <c r="FF179">
        <v>790</v>
      </c>
      <c r="FQ179">
        <v>0</v>
      </c>
      <c r="FR179">
        <f t="shared" si="185"/>
        <v>0</v>
      </c>
      <c r="FS179">
        <v>0</v>
      </c>
      <c r="FX179">
        <v>0</v>
      </c>
      <c r="FY179">
        <v>0</v>
      </c>
      <c r="GA179" t="s">
        <v>307</v>
      </c>
      <c r="GD179">
        <v>1</v>
      </c>
      <c r="GF179">
        <v>-1422399588</v>
      </c>
      <c r="GG179">
        <v>2</v>
      </c>
      <c r="GH179">
        <v>3</v>
      </c>
      <c r="GI179">
        <v>3</v>
      </c>
      <c r="GJ179">
        <v>0</v>
      </c>
      <c r="GK179">
        <v>0</v>
      </c>
      <c r="GL179">
        <f t="shared" si="186"/>
        <v>0</v>
      </c>
      <c r="GM179">
        <f t="shared" si="187"/>
        <v>2633.41</v>
      </c>
      <c r="GN179">
        <f t="shared" si="188"/>
        <v>2633.41</v>
      </c>
      <c r="GO179">
        <f t="shared" si="189"/>
        <v>0</v>
      </c>
      <c r="GP179">
        <f t="shared" si="190"/>
        <v>0</v>
      </c>
      <c r="GR179">
        <v>2</v>
      </c>
      <c r="GS179">
        <v>1</v>
      </c>
      <c r="GT179">
        <v>0</v>
      </c>
      <c r="GV179">
        <f t="shared" si="191"/>
        <v>0</v>
      </c>
      <c r="GW179">
        <v>1</v>
      </c>
      <c r="GX179">
        <f t="shared" si="192"/>
        <v>0</v>
      </c>
      <c r="HA179">
        <v>0</v>
      </c>
      <c r="HB179">
        <v>0</v>
      </c>
      <c r="HC179">
        <f t="shared" si="193"/>
        <v>0</v>
      </c>
      <c r="IK179">
        <v>0</v>
      </c>
    </row>
    <row r="180" spans="1:245" ht="12.75">
      <c r="A180">
        <v>18</v>
      </c>
      <c r="B180">
        <v>1</v>
      </c>
      <c r="C180">
        <v>176</v>
      </c>
      <c r="E180" t="s">
        <v>308</v>
      </c>
      <c r="F180" t="s">
        <v>200</v>
      </c>
      <c r="G180" t="s">
        <v>309</v>
      </c>
      <c r="H180" t="s">
        <v>202</v>
      </c>
      <c r="I180">
        <f>I178*J180</f>
        <v>17</v>
      </c>
      <c r="J180">
        <v>26.984126984126984</v>
      </c>
      <c r="O180">
        <f t="shared" si="159"/>
        <v>9491.33</v>
      </c>
      <c r="P180">
        <f t="shared" si="160"/>
        <v>9491.33</v>
      </c>
      <c r="Q180">
        <f t="shared" si="161"/>
        <v>0</v>
      </c>
      <c r="R180">
        <f t="shared" si="162"/>
        <v>0</v>
      </c>
      <c r="S180">
        <f t="shared" si="163"/>
        <v>0</v>
      </c>
      <c r="T180">
        <f t="shared" si="164"/>
        <v>0</v>
      </c>
      <c r="U180">
        <f t="shared" si="165"/>
        <v>0</v>
      </c>
      <c r="V180">
        <f t="shared" si="166"/>
        <v>0</v>
      </c>
      <c r="W180">
        <f t="shared" si="167"/>
        <v>0</v>
      </c>
      <c r="X180">
        <f t="shared" si="168"/>
        <v>0</v>
      </c>
      <c r="Y180">
        <f t="shared" si="169"/>
        <v>0</v>
      </c>
      <c r="AA180">
        <v>51669678</v>
      </c>
      <c r="AB180">
        <f t="shared" si="170"/>
        <v>87.51</v>
      </c>
      <c r="AC180">
        <f t="shared" si="171"/>
        <v>87.51</v>
      </c>
      <c r="AD180">
        <f t="shared" si="194"/>
        <v>0</v>
      </c>
      <c r="AE180">
        <f t="shared" si="195"/>
        <v>0</v>
      </c>
      <c r="AF180">
        <f t="shared" si="196"/>
        <v>0</v>
      </c>
      <c r="AG180">
        <f t="shared" si="172"/>
        <v>0</v>
      </c>
      <c r="AH180">
        <f t="shared" si="197"/>
        <v>0</v>
      </c>
      <c r="AI180">
        <f t="shared" si="198"/>
        <v>0</v>
      </c>
      <c r="AJ180">
        <f t="shared" si="173"/>
        <v>0</v>
      </c>
      <c r="AK180">
        <v>87.51</v>
      </c>
      <c r="AL180">
        <v>87.51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1</v>
      </c>
      <c r="AZ180">
        <v>1</v>
      </c>
      <c r="BA180">
        <v>1</v>
      </c>
      <c r="BB180">
        <v>1</v>
      </c>
      <c r="BC180">
        <v>6.38</v>
      </c>
      <c r="BH180">
        <v>3</v>
      </c>
      <c r="BI180">
        <v>1</v>
      </c>
      <c r="BM180">
        <v>900005</v>
      </c>
      <c r="BN180">
        <v>0</v>
      </c>
      <c r="BP180">
        <v>0</v>
      </c>
      <c r="BQ180">
        <v>8</v>
      </c>
      <c r="BR180">
        <v>0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Z180">
        <v>0</v>
      </c>
      <c r="CA180">
        <v>0</v>
      </c>
      <c r="CE180">
        <v>0</v>
      </c>
      <c r="CF180">
        <v>0</v>
      </c>
      <c r="CG180">
        <v>0</v>
      </c>
      <c r="CM180">
        <v>0</v>
      </c>
      <c r="CO180">
        <v>0</v>
      </c>
      <c r="CP180">
        <f t="shared" si="174"/>
        <v>9491.33</v>
      </c>
      <c r="CQ180">
        <f t="shared" si="175"/>
        <v>558.3138</v>
      </c>
      <c r="CR180">
        <f t="shared" si="176"/>
        <v>0</v>
      </c>
      <c r="CS180">
        <f t="shared" si="177"/>
        <v>0</v>
      </c>
      <c r="CT180">
        <f t="shared" si="178"/>
        <v>0</v>
      </c>
      <c r="CU180">
        <f t="shared" si="179"/>
        <v>0</v>
      </c>
      <c r="CV180">
        <f t="shared" si="180"/>
        <v>0</v>
      </c>
      <c r="CW180">
        <f t="shared" si="181"/>
        <v>0</v>
      </c>
      <c r="CX180">
        <f t="shared" si="182"/>
        <v>0</v>
      </c>
      <c r="CY180">
        <f t="shared" si="183"/>
        <v>0</v>
      </c>
      <c r="CZ180">
        <f t="shared" si="184"/>
        <v>0</v>
      </c>
      <c r="DN180">
        <v>0</v>
      </c>
      <c r="DO180">
        <v>0</v>
      </c>
      <c r="DP180">
        <v>1</v>
      </c>
      <c r="DQ180">
        <v>1</v>
      </c>
      <c r="DU180">
        <v>1010</v>
      </c>
      <c r="DV180" t="s">
        <v>202</v>
      </c>
      <c r="DW180" t="s">
        <v>202</v>
      </c>
      <c r="DX180">
        <v>1</v>
      </c>
      <c r="EE180">
        <v>48082719</v>
      </c>
      <c r="EF180">
        <v>8</v>
      </c>
      <c r="EG180" t="s">
        <v>151</v>
      </c>
      <c r="EH180">
        <v>0</v>
      </c>
      <c r="EJ180">
        <v>1</v>
      </c>
      <c r="EK180">
        <v>900005</v>
      </c>
      <c r="EL180" t="s">
        <v>260</v>
      </c>
      <c r="EM180" t="s">
        <v>261</v>
      </c>
      <c r="EQ180">
        <v>0</v>
      </c>
      <c r="ER180">
        <v>89</v>
      </c>
      <c r="ES180">
        <v>87.51</v>
      </c>
      <c r="ET180">
        <v>0</v>
      </c>
      <c r="EU180">
        <v>0</v>
      </c>
      <c r="EV180">
        <v>0</v>
      </c>
      <c r="EW180">
        <v>0</v>
      </c>
      <c r="EX180">
        <v>0</v>
      </c>
      <c r="EZ180">
        <v>5</v>
      </c>
      <c r="FC180">
        <v>1</v>
      </c>
      <c r="FD180">
        <v>18</v>
      </c>
      <c r="FF180">
        <v>670</v>
      </c>
      <c r="FQ180">
        <v>0</v>
      </c>
      <c r="FR180">
        <f t="shared" si="185"/>
        <v>0</v>
      </c>
      <c r="FS180">
        <v>0</v>
      </c>
      <c r="FX180">
        <v>0</v>
      </c>
      <c r="FY180">
        <v>0</v>
      </c>
      <c r="GA180" t="s">
        <v>310</v>
      </c>
      <c r="GD180">
        <v>1</v>
      </c>
      <c r="GF180">
        <v>72530043</v>
      </c>
      <c r="GG180">
        <v>2</v>
      </c>
      <c r="GH180">
        <v>3</v>
      </c>
      <c r="GI180">
        <v>3</v>
      </c>
      <c r="GJ180">
        <v>0</v>
      </c>
      <c r="GK180">
        <v>0</v>
      </c>
      <c r="GL180">
        <f t="shared" si="186"/>
        <v>0</v>
      </c>
      <c r="GM180">
        <f t="shared" si="187"/>
        <v>9491.33</v>
      </c>
      <c r="GN180">
        <f t="shared" si="188"/>
        <v>9491.33</v>
      </c>
      <c r="GO180">
        <f t="shared" si="189"/>
        <v>0</v>
      </c>
      <c r="GP180">
        <f t="shared" si="190"/>
        <v>0</v>
      </c>
      <c r="GR180">
        <v>2</v>
      </c>
      <c r="GS180">
        <v>1</v>
      </c>
      <c r="GT180">
        <v>0</v>
      </c>
      <c r="GV180">
        <f t="shared" si="191"/>
        <v>0</v>
      </c>
      <c r="GW180">
        <v>1</v>
      </c>
      <c r="GX180">
        <f t="shared" si="192"/>
        <v>0</v>
      </c>
      <c r="HA180">
        <v>0</v>
      </c>
      <c r="HB180">
        <v>0</v>
      </c>
      <c r="HC180">
        <f t="shared" si="193"/>
        <v>0</v>
      </c>
      <c r="IK180">
        <v>0</v>
      </c>
    </row>
    <row r="181" spans="1:245" ht="12.75">
      <c r="A181">
        <v>18</v>
      </c>
      <c r="B181">
        <v>1</v>
      </c>
      <c r="C181">
        <v>177</v>
      </c>
      <c r="E181" t="s">
        <v>311</v>
      </c>
      <c r="F181" t="s">
        <v>200</v>
      </c>
      <c r="G181" t="s">
        <v>312</v>
      </c>
      <c r="H181" t="s">
        <v>202</v>
      </c>
      <c r="I181">
        <f>I178*J181</f>
        <v>4</v>
      </c>
      <c r="J181">
        <v>6.349206349206349</v>
      </c>
      <c r="O181">
        <f t="shared" si="159"/>
        <v>1099.91</v>
      </c>
      <c r="P181">
        <f t="shared" si="160"/>
        <v>1099.91</v>
      </c>
      <c r="Q181">
        <f t="shared" si="161"/>
        <v>0</v>
      </c>
      <c r="R181">
        <f t="shared" si="162"/>
        <v>0</v>
      </c>
      <c r="S181">
        <f t="shared" si="163"/>
        <v>0</v>
      </c>
      <c r="T181">
        <f t="shared" si="164"/>
        <v>0</v>
      </c>
      <c r="U181">
        <f t="shared" si="165"/>
        <v>0</v>
      </c>
      <c r="V181">
        <f t="shared" si="166"/>
        <v>0</v>
      </c>
      <c r="W181">
        <f t="shared" si="167"/>
        <v>0</v>
      </c>
      <c r="X181">
        <f t="shared" si="168"/>
        <v>0</v>
      </c>
      <c r="Y181">
        <f t="shared" si="169"/>
        <v>0</v>
      </c>
      <c r="AA181">
        <v>51669678</v>
      </c>
      <c r="AB181">
        <f t="shared" si="170"/>
        <v>43.1</v>
      </c>
      <c r="AC181">
        <f t="shared" si="171"/>
        <v>43.1</v>
      </c>
      <c r="AD181">
        <f t="shared" si="194"/>
        <v>0</v>
      </c>
      <c r="AE181">
        <f t="shared" si="195"/>
        <v>0</v>
      </c>
      <c r="AF181">
        <f t="shared" si="196"/>
        <v>0</v>
      </c>
      <c r="AG181">
        <f t="shared" si="172"/>
        <v>0</v>
      </c>
      <c r="AH181">
        <f t="shared" si="197"/>
        <v>0</v>
      </c>
      <c r="AI181">
        <f t="shared" si="198"/>
        <v>0</v>
      </c>
      <c r="AJ181">
        <f t="shared" si="173"/>
        <v>0</v>
      </c>
      <c r="AK181">
        <v>43.1</v>
      </c>
      <c r="AL181">
        <v>43.1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6.38</v>
      </c>
      <c r="BH181">
        <v>3</v>
      </c>
      <c r="BI181">
        <v>1</v>
      </c>
      <c r="BM181">
        <v>900005</v>
      </c>
      <c r="BN181">
        <v>0</v>
      </c>
      <c r="BP181">
        <v>0</v>
      </c>
      <c r="BQ181">
        <v>8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Z181">
        <v>0</v>
      </c>
      <c r="CA181">
        <v>0</v>
      </c>
      <c r="CE181">
        <v>0</v>
      </c>
      <c r="CF181">
        <v>0</v>
      </c>
      <c r="CG181">
        <v>0</v>
      </c>
      <c r="CM181">
        <v>0</v>
      </c>
      <c r="CO181">
        <v>0</v>
      </c>
      <c r="CP181">
        <f t="shared" si="174"/>
        <v>1099.91</v>
      </c>
      <c r="CQ181">
        <f t="shared" si="175"/>
        <v>274.978</v>
      </c>
      <c r="CR181">
        <f t="shared" si="176"/>
        <v>0</v>
      </c>
      <c r="CS181">
        <f t="shared" si="177"/>
        <v>0</v>
      </c>
      <c r="CT181">
        <f t="shared" si="178"/>
        <v>0</v>
      </c>
      <c r="CU181">
        <f t="shared" si="179"/>
        <v>0</v>
      </c>
      <c r="CV181">
        <f t="shared" si="180"/>
        <v>0</v>
      </c>
      <c r="CW181">
        <f t="shared" si="181"/>
        <v>0</v>
      </c>
      <c r="CX181">
        <f t="shared" si="182"/>
        <v>0</v>
      </c>
      <c r="CY181">
        <f t="shared" si="183"/>
        <v>0</v>
      </c>
      <c r="CZ181">
        <f t="shared" si="184"/>
        <v>0</v>
      </c>
      <c r="DN181">
        <v>0</v>
      </c>
      <c r="DO181">
        <v>0</v>
      </c>
      <c r="DP181">
        <v>1</v>
      </c>
      <c r="DQ181">
        <v>1</v>
      </c>
      <c r="DU181">
        <v>1010</v>
      </c>
      <c r="DV181" t="s">
        <v>202</v>
      </c>
      <c r="DW181" t="s">
        <v>202</v>
      </c>
      <c r="DX181">
        <v>1</v>
      </c>
      <c r="EE181">
        <v>48082719</v>
      </c>
      <c r="EF181">
        <v>8</v>
      </c>
      <c r="EG181" t="s">
        <v>151</v>
      </c>
      <c r="EH181">
        <v>0</v>
      </c>
      <c r="EJ181">
        <v>1</v>
      </c>
      <c r="EK181">
        <v>900005</v>
      </c>
      <c r="EL181" t="s">
        <v>260</v>
      </c>
      <c r="EM181" t="s">
        <v>261</v>
      </c>
      <c r="EQ181">
        <v>0</v>
      </c>
      <c r="ER181">
        <v>0</v>
      </c>
      <c r="ES181">
        <v>43.1</v>
      </c>
      <c r="ET181">
        <v>0</v>
      </c>
      <c r="EU181">
        <v>0</v>
      </c>
      <c r="EV181">
        <v>0</v>
      </c>
      <c r="EW181">
        <v>0</v>
      </c>
      <c r="EX181">
        <v>0</v>
      </c>
      <c r="EZ181">
        <v>5</v>
      </c>
      <c r="FC181">
        <v>1</v>
      </c>
      <c r="FD181">
        <v>18</v>
      </c>
      <c r="FF181">
        <v>330</v>
      </c>
      <c r="FQ181">
        <v>0</v>
      </c>
      <c r="FR181">
        <f t="shared" si="185"/>
        <v>0</v>
      </c>
      <c r="FS181">
        <v>0</v>
      </c>
      <c r="FX181">
        <v>0</v>
      </c>
      <c r="FY181">
        <v>0</v>
      </c>
      <c r="GA181" t="s">
        <v>313</v>
      </c>
      <c r="GD181">
        <v>1</v>
      </c>
      <c r="GF181">
        <v>586220622</v>
      </c>
      <c r="GG181">
        <v>2</v>
      </c>
      <c r="GH181">
        <v>3</v>
      </c>
      <c r="GI181">
        <v>3</v>
      </c>
      <c r="GJ181">
        <v>0</v>
      </c>
      <c r="GK181">
        <v>0</v>
      </c>
      <c r="GL181">
        <f t="shared" si="186"/>
        <v>0</v>
      </c>
      <c r="GM181">
        <f t="shared" si="187"/>
        <v>1099.91</v>
      </c>
      <c r="GN181">
        <f t="shared" si="188"/>
        <v>1099.91</v>
      </c>
      <c r="GO181">
        <f t="shared" si="189"/>
        <v>0</v>
      </c>
      <c r="GP181">
        <f t="shared" si="190"/>
        <v>0</v>
      </c>
      <c r="GR181">
        <v>2</v>
      </c>
      <c r="GS181">
        <v>1</v>
      </c>
      <c r="GT181">
        <v>0</v>
      </c>
      <c r="GV181">
        <f t="shared" si="191"/>
        <v>0</v>
      </c>
      <c r="GW181">
        <v>1</v>
      </c>
      <c r="GX181">
        <f t="shared" si="192"/>
        <v>0</v>
      </c>
      <c r="HA181">
        <v>0</v>
      </c>
      <c r="HB181">
        <v>0</v>
      </c>
      <c r="HC181">
        <f t="shared" si="193"/>
        <v>0</v>
      </c>
      <c r="IK181">
        <v>0</v>
      </c>
    </row>
    <row r="182" spans="1:245" ht="12.75">
      <c r="A182">
        <v>18</v>
      </c>
      <c r="B182">
        <v>1</v>
      </c>
      <c r="C182">
        <v>178</v>
      </c>
      <c r="E182" t="s">
        <v>314</v>
      </c>
      <c r="F182" t="s">
        <v>200</v>
      </c>
      <c r="G182" t="s">
        <v>315</v>
      </c>
      <c r="H182" t="s">
        <v>202</v>
      </c>
      <c r="I182">
        <f>I178*J182</f>
        <v>4</v>
      </c>
      <c r="J182">
        <v>6.349206349206349</v>
      </c>
      <c r="O182">
        <f t="shared" si="159"/>
        <v>1099.91</v>
      </c>
      <c r="P182">
        <f t="shared" si="160"/>
        <v>1099.91</v>
      </c>
      <c r="Q182">
        <f t="shared" si="161"/>
        <v>0</v>
      </c>
      <c r="R182">
        <f t="shared" si="162"/>
        <v>0</v>
      </c>
      <c r="S182">
        <f t="shared" si="163"/>
        <v>0</v>
      </c>
      <c r="T182">
        <f t="shared" si="164"/>
        <v>0</v>
      </c>
      <c r="U182">
        <f t="shared" si="165"/>
        <v>0</v>
      </c>
      <c r="V182">
        <f t="shared" si="166"/>
        <v>0</v>
      </c>
      <c r="W182">
        <f t="shared" si="167"/>
        <v>0</v>
      </c>
      <c r="X182">
        <f t="shared" si="168"/>
        <v>0</v>
      </c>
      <c r="Y182">
        <f t="shared" si="169"/>
        <v>0</v>
      </c>
      <c r="AA182">
        <v>51669678</v>
      </c>
      <c r="AB182">
        <f t="shared" si="170"/>
        <v>43.1</v>
      </c>
      <c r="AC182">
        <f t="shared" si="171"/>
        <v>43.1</v>
      </c>
      <c r="AD182">
        <f t="shared" si="194"/>
        <v>0</v>
      </c>
      <c r="AE182">
        <f t="shared" si="195"/>
        <v>0</v>
      </c>
      <c r="AF182">
        <f t="shared" si="196"/>
        <v>0</v>
      </c>
      <c r="AG182">
        <f t="shared" si="172"/>
        <v>0</v>
      </c>
      <c r="AH182">
        <f t="shared" si="197"/>
        <v>0</v>
      </c>
      <c r="AI182">
        <f t="shared" si="198"/>
        <v>0</v>
      </c>
      <c r="AJ182">
        <f t="shared" si="173"/>
        <v>0</v>
      </c>
      <c r="AK182">
        <v>43.1</v>
      </c>
      <c r="AL182">
        <v>43.1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1</v>
      </c>
      <c r="AZ182">
        <v>1</v>
      </c>
      <c r="BA182">
        <v>1</v>
      </c>
      <c r="BB182">
        <v>1</v>
      </c>
      <c r="BC182">
        <v>6.38</v>
      </c>
      <c r="BH182">
        <v>3</v>
      </c>
      <c r="BI182">
        <v>1</v>
      </c>
      <c r="BM182">
        <v>900005</v>
      </c>
      <c r="BN182">
        <v>0</v>
      </c>
      <c r="BP182">
        <v>0</v>
      </c>
      <c r="BQ182">
        <v>8</v>
      </c>
      <c r="BR182">
        <v>0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Z182">
        <v>0</v>
      </c>
      <c r="CA182">
        <v>0</v>
      </c>
      <c r="CE182">
        <v>0</v>
      </c>
      <c r="CF182">
        <v>0</v>
      </c>
      <c r="CG182">
        <v>0</v>
      </c>
      <c r="CM182">
        <v>0</v>
      </c>
      <c r="CO182">
        <v>0</v>
      </c>
      <c r="CP182">
        <f t="shared" si="174"/>
        <v>1099.91</v>
      </c>
      <c r="CQ182">
        <f t="shared" si="175"/>
        <v>274.978</v>
      </c>
      <c r="CR182">
        <f t="shared" si="176"/>
        <v>0</v>
      </c>
      <c r="CS182">
        <f t="shared" si="177"/>
        <v>0</v>
      </c>
      <c r="CT182">
        <f t="shared" si="178"/>
        <v>0</v>
      </c>
      <c r="CU182">
        <f t="shared" si="179"/>
        <v>0</v>
      </c>
      <c r="CV182">
        <f t="shared" si="180"/>
        <v>0</v>
      </c>
      <c r="CW182">
        <f t="shared" si="181"/>
        <v>0</v>
      </c>
      <c r="CX182">
        <f t="shared" si="182"/>
        <v>0</v>
      </c>
      <c r="CY182">
        <f t="shared" si="183"/>
        <v>0</v>
      </c>
      <c r="CZ182">
        <f t="shared" si="184"/>
        <v>0</v>
      </c>
      <c r="DN182">
        <v>0</v>
      </c>
      <c r="DO182">
        <v>0</v>
      </c>
      <c r="DP182">
        <v>1</v>
      </c>
      <c r="DQ182">
        <v>1</v>
      </c>
      <c r="DU182">
        <v>1010</v>
      </c>
      <c r="DV182" t="s">
        <v>202</v>
      </c>
      <c r="DW182" t="s">
        <v>202</v>
      </c>
      <c r="DX182">
        <v>1</v>
      </c>
      <c r="EE182">
        <v>48082719</v>
      </c>
      <c r="EF182">
        <v>8</v>
      </c>
      <c r="EG182" t="s">
        <v>151</v>
      </c>
      <c r="EH182">
        <v>0</v>
      </c>
      <c r="EJ182">
        <v>1</v>
      </c>
      <c r="EK182">
        <v>900005</v>
      </c>
      <c r="EL182" t="s">
        <v>260</v>
      </c>
      <c r="EM182" t="s">
        <v>261</v>
      </c>
      <c r="EQ182">
        <v>0</v>
      </c>
      <c r="ER182">
        <v>0</v>
      </c>
      <c r="ES182">
        <v>43.1</v>
      </c>
      <c r="ET182">
        <v>0</v>
      </c>
      <c r="EU182">
        <v>0</v>
      </c>
      <c r="EV182">
        <v>0</v>
      </c>
      <c r="EW182">
        <v>0</v>
      </c>
      <c r="EX182">
        <v>0</v>
      </c>
      <c r="EZ182">
        <v>5</v>
      </c>
      <c r="FC182">
        <v>1</v>
      </c>
      <c r="FD182">
        <v>18</v>
      </c>
      <c r="FF182">
        <v>330</v>
      </c>
      <c r="FQ182">
        <v>0</v>
      </c>
      <c r="FR182">
        <f t="shared" si="185"/>
        <v>0</v>
      </c>
      <c r="FS182">
        <v>0</v>
      </c>
      <c r="FX182">
        <v>0</v>
      </c>
      <c r="FY182">
        <v>0</v>
      </c>
      <c r="GA182" t="s">
        <v>313</v>
      </c>
      <c r="GD182">
        <v>1</v>
      </c>
      <c r="GF182">
        <v>322476084</v>
      </c>
      <c r="GG182">
        <v>2</v>
      </c>
      <c r="GH182">
        <v>3</v>
      </c>
      <c r="GI182">
        <v>3</v>
      </c>
      <c r="GJ182">
        <v>0</v>
      </c>
      <c r="GK182">
        <v>0</v>
      </c>
      <c r="GL182">
        <f t="shared" si="186"/>
        <v>0</v>
      </c>
      <c r="GM182">
        <f t="shared" si="187"/>
        <v>1099.91</v>
      </c>
      <c r="GN182">
        <f t="shared" si="188"/>
        <v>1099.91</v>
      </c>
      <c r="GO182">
        <f t="shared" si="189"/>
        <v>0</v>
      </c>
      <c r="GP182">
        <f t="shared" si="190"/>
        <v>0</v>
      </c>
      <c r="GR182">
        <v>2</v>
      </c>
      <c r="GS182">
        <v>1</v>
      </c>
      <c r="GT182">
        <v>0</v>
      </c>
      <c r="GV182">
        <f t="shared" si="191"/>
        <v>0</v>
      </c>
      <c r="GW182">
        <v>1</v>
      </c>
      <c r="GX182">
        <f t="shared" si="192"/>
        <v>0</v>
      </c>
      <c r="HA182">
        <v>0</v>
      </c>
      <c r="HB182">
        <v>0</v>
      </c>
      <c r="HC182">
        <f t="shared" si="193"/>
        <v>0</v>
      </c>
      <c r="IK182">
        <v>0</v>
      </c>
    </row>
    <row r="183" spans="1:245" ht="12.75">
      <c r="A183">
        <v>18</v>
      </c>
      <c r="B183">
        <v>1</v>
      </c>
      <c r="C183">
        <v>179</v>
      </c>
      <c r="E183" t="s">
        <v>316</v>
      </c>
      <c r="F183" t="s">
        <v>200</v>
      </c>
      <c r="G183" t="s">
        <v>317</v>
      </c>
      <c r="H183" t="s">
        <v>202</v>
      </c>
      <c r="I183">
        <f>I178*J183</f>
        <v>5</v>
      </c>
      <c r="J183">
        <v>7.936507936507937</v>
      </c>
      <c r="O183">
        <f t="shared" si="159"/>
        <v>1041.54</v>
      </c>
      <c r="P183">
        <f t="shared" si="160"/>
        <v>1041.54</v>
      </c>
      <c r="Q183">
        <f t="shared" si="161"/>
        <v>0</v>
      </c>
      <c r="R183">
        <f t="shared" si="162"/>
        <v>0</v>
      </c>
      <c r="S183">
        <f t="shared" si="163"/>
        <v>0</v>
      </c>
      <c r="T183">
        <f t="shared" si="164"/>
        <v>0</v>
      </c>
      <c r="U183">
        <f t="shared" si="165"/>
        <v>0</v>
      </c>
      <c r="V183">
        <f t="shared" si="166"/>
        <v>0</v>
      </c>
      <c r="W183">
        <f t="shared" si="167"/>
        <v>0</v>
      </c>
      <c r="X183">
        <f t="shared" si="168"/>
        <v>0</v>
      </c>
      <c r="Y183">
        <f t="shared" si="169"/>
        <v>0</v>
      </c>
      <c r="AA183">
        <v>51669678</v>
      </c>
      <c r="AB183">
        <f t="shared" si="170"/>
        <v>32.65</v>
      </c>
      <c r="AC183">
        <f t="shared" si="171"/>
        <v>32.65</v>
      </c>
      <c r="AD183">
        <f t="shared" si="194"/>
        <v>0</v>
      </c>
      <c r="AE183">
        <f t="shared" si="195"/>
        <v>0</v>
      </c>
      <c r="AF183">
        <f t="shared" si="196"/>
        <v>0</v>
      </c>
      <c r="AG183">
        <f t="shared" si="172"/>
        <v>0</v>
      </c>
      <c r="AH183">
        <f t="shared" si="197"/>
        <v>0</v>
      </c>
      <c r="AI183">
        <f t="shared" si="198"/>
        <v>0</v>
      </c>
      <c r="AJ183">
        <f t="shared" si="173"/>
        <v>0</v>
      </c>
      <c r="AK183">
        <v>32.65</v>
      </c>
      <c r="AL183">
        <v>32.65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6.38</v>
      </c>
      <c r="BH183">
        <v>3</v>
      </c>
      <c r="BI183">
        <v>1</v>
      </c>
      <c r="BM183">
        <v>900005</v>
      </c>
      <c r="BN183">
        <v>0</v>
      </c>
      <c r="BP183">
        <v>0</v>
      </c>
      <c r="BQ183">
        <v>8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Z183">
        <v>0</v>
      </c>
      <c r="CA183">
        <v>0</v>
      </c>
      <c r="CE183">
        <v>0</v>
      </c>
      <c r="CF183">
        <v>0</v>
      </c>
      <c r="CG183">
        <v>0</v>
      </c>
      <c r="CM183">
        <v>0</v>
      </c>
      <c r="CO183">
        <v>0</v>
      </c>
      <c r="CP183">
        <f t="shared" si="174"/>
        <v>1041.54</v>
      </c>
      <c r="CQ183">
        <f t="shared" si="175"/>
        <v>208.307</v>
      </c>
      <c r="CR183">
        <f t="shared" si="176"/>
        <v>0</v>
      </c>
      <c r="CS183">
        <f t="shared" si="177"/>
        <v>0</v>
      </c>
      <c r="CT183">
        <f t="shared" si="178"/>
        <v>0</v>
      </c>
      <c r="CU183">
        <f t="shared" si="179"/>
        <v>0</v>
      </c>
      <c r="CV183">
        <f t="shared" si="180"/>
        <v>0</v>
      </c>
      <c r="CW183">
        <f t="shared" si="181"/>
        <v>0</v>
      </c>
      <c r="CX183">
        <f t="shared" si="182"/>
        <v>0</v>
      </c>
      <c r="CY183">
        <f t="shared" si="183"/>
        <v>0</v>
      </c>
      <c r="CZ183">
        <f t="shared" si="184"/>
        <v>0</v>
      </c>
      <c r="DN183">
        <v>0</v>
      </c>
      <c r="DO183">
        <v>0</v>
      </c>
      <c r="DP183">
        <v>1</v>
      </c>
      <c r="DQ183">
        <v>1</v>
      </c>
      <c r="DU183">
        <v>1010</v>
      </c>
      <c r="DV183" t="s">
        <v>202</v>
      </c>
      <c r="DW183" t="s">
        <v>202</v>
      </c>
      <c r="DX183">
        <v>1</v>
      </c>
      <c r="EE183">
        <v>48082719</v>
      </c>
      <c r="EF183">
        <v>8</v>
      </c>
      <c r="EG183" t="s">
        <v>151</v>
      </c>
      <c r="EH183">
        <v>0</v>
      </c>
      <c r="EJ183">
        <v>1</v>
      </c>
      <c r="EK183">
        <v>900005</v>
      </c>
      <c r="EL183" t="s">
        <v>260</v>
      </c>
      <c r="EM183" t="s">
        <v>261</v>
      </c>
      <c r="EQ183">
        <v>0</v>
      </c>
      <c r="ER183">
        <v>0</v>
      </c>
      <c r="ES183">
        <v>32.65</v>
      </c>
      <c r="ET183">
        <v>0</v>
      </c>
      <c r="EU183">
        <v>0</v>
      </c>
      <c r="EV183">
        <v>0</v>
      </c>
      <c r="EW183">
        <v>0</v>
      </c>
      <c r="EX183">
        <v>0</v>
      </c>
      <c r="EZ183">
        <v>5</v>
      </c>
      <c r="FC183">
        <v>1</v>
      </c>
      <c r="FD183">
        <v>18</v>
      </c>
      <c r="FF183">
        <v>250</v>
      </c>
      <c r="FQ183">
        <v>0</v>
      </c>
      <c r="FR183">
        <f t="shared" si="185"/>
        <v>0</v>
      </c>
      <c r="FS183">
        <v>0</v>
      </c>
      <c r="FX183">
        <v>0</v>
      </c>
      <c r="FY183">
        <v>0</v>
      </c>
      <c r="GA183" t="s">
        <v>318</v>
      </c>
      <c r="GD183">
        <v>1</v>
      </c>
      <c r="GF183">
        <v>-1877632666</v>
      </c>
      <c r="GG183">
        <v>2</v>
      </c>
      <c r="GH183">
        <v>3</v>
      </c>
      <c r="GI183">
        <v>3</v>
      </c>
      <c r="GJ183">
        <v>0</v>
      </c>
      <c r="GK183">
        <v>0</v>
      </c>
      <c r="GL183">
        <f t="shared" si="186"/>
        <v>0</v>
      </c>
      <c r="GM183">
        <f t="shared" si="187"/>
        <v>1041.54</v>
      </c>
      <c r="GN183">
        <f t="shared" si="188"/>
        <v>1041.54</v>
      </c>
      <c r="GO183">
        <f t="shared" si="189"/>
        <v>0</v>
      </c>
      <c r="GP183">
        <f t="shared" si="190"/>
        <v>0</v>
      </c>
      <c r="GR183">
        <v>2</v>
      </c>
      <c r="GS183">
        <v>1</v>
      </c>
      <c r="GT183">
        <v>0</v>
      </c>
      <c r="GV183">
        <f t="shared" si="191"/>
        <v>0</v>
      </c>
      <c r="GW183">
        <v>1</v>
      </c>
      <c r="GX183">
        <f t="shared" si="192"/>
        <v>0</v>
      </c>
      <c r="HA183">
        <v>0</v>
      </c>
      <c r="HB183">
        <v>0</v>
      </c>
      <c r="HC183">
        <f t="shared" si="193"/>
        <v>0</v>
      </c>
      <c r="IK183">
        <v>0</v>
      </c>
    </row>
    <row r="184" spans="1:245" ht="12.75">
      <c r="A184">
        <v>18</v>
      </c>
      <c r="B184">
        <v>1</v>
      </c>
      <c r="C184">
        <v>180</v>
      </c>
      <c r="E184" t="s">
        <v>319</v>
      </c>
      <c r="F184" t="s">
        <v>200</v>
      </c>
      <c r="G184" t="s">
        <v>320</v>
      </c>
      <c r="H184" t="s">
        <v>202</v>
      </c>
      <c r="I184">
        <f>I178*J184</f>
        <v>85</v>
      </c>
      <c r="J184">
        <v>134.9206349206349</v>
      </c>
      <c r="O184">
        <f t="shared" si="159"/>
        <v>7792.85</v>
      </c>
      <c r="P184">
        <f t="shared" si="160"/>
        <v>7792.85</v>
      </c>
      <c r="Q184">
        <f t="shared" si="161"/>
        <v>0</v>
      </c>
      <c r="R184">
        <f t="shared" si="162"/>
        <v>0</v>
      </c>
      <c r="S184">
        <f t="shared" si="163"/>
        <v>0</v>
      </c>
      <c r="T184">
        <f t="shared" si="164"/>
        <v>0</v>
      </c>
      <c r="U184">
        <f t="shared" si="165"/>
        <v>0</v>
      </c>
      <c r="V184">
        <f t="shared" si="166"/>
        <v>0</v>
      </c>
      <c r="W184">
        <f t="shared" si="167"/>
        <v>0</v>
      </c>
      <c r="X184">
        <f t="shared" si="168"/>
        <v>0</v>
      </c>
      <c r="Y184">
        <f t="shared" si="169"/>
        <v>0</v>
      </c>
      <c r="AA184">
        <v>51669678</v>
      </c>
      <c r="AB184">
        <f t="shared" si="170"/>
        <v>14.37</v>
      </c>
      <c r="AC184">
        <f t="shared" si="171"/>
        <v>14.37</v>
      </c>
      <c r="AD184">
        <f t="shared" si="194"/>
        <v>0</v>
      </c>
      <c r="AE184">
        <f t="shared" si="195"/>
        <v>0</v>
      </c>
      <c r="AF184">
        <f t="shared" si="196"/>
        <v>0</v>
      </c>
      <c r="AG184">
        <f t="shared" si="172"/>
        <v>0</v>
      </c>
      <c r="AH184">
        <f t="shared" si="197"/>
        <v>0</v>
      </c>
      <c r="AI184">
        <f t="shared" si="198"/>
        <v>0</v>
      </c>
      <c r="AJ184">
        <f t="shared" si="173"/>
        <v>0</v>
      </c>
      <c r="AK184">
        <v>14.37</v>
      </c>
      <c r="AL184">
        <v>14.37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1</v>
      </c>
      <c r="AZ184">
        <v>1</v>
      </c>
      <c r="BA184">
        <v>1</v>
      </c>
      <c r="BB184">
        <v>1</v>
      </c>
      <c r="BC184">
        <v>6.38</v>
      </c>
      <c r="BH184">
        <v>3</v>
      </c>
      <c r="BI184">
        <v>1</v>
      </c>
      <c r="BM184">
        <v>900005</v>
      </c>
      <c r="BN184">
        <v>0</v>
      </c>
      <c r="BP184">
        <v>0</v>
      </c>
      <c r="BQ184">
        <v>8</v>
      </c>
      <c r="BR184">
        <v>0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Z184">
        <v>0</v>
      </c>
      <c r="CA184">
        <v>0</v>
      </c>
      <c r="CE184">
        <v>0</v>
      </c>
      <c r="CF184">
        <v>0</v>
      </c>
      <c r="CG184">
        <v>0</v>
      </c>
      <c r="CM184">
        <v>0</v>
      </c>
      <c r="CO184">
        <v>0</v>
      </c>
      <c r="CP184">
        <f t="shared" si="174"/>
        <v>7792.85</v>
      </c>
      <c r="CQ184">
        <f t="shared" si="175"/>
        <v>91.6806</v>
      </c>
      <c r="CR184">
        <f t="shared" si="176"/>
        <v>0</v>
      </c>
      <c r="CS184">
        <f t="shared" si="177"/>
        <v>0</v>
      </c>
      <c r="CT184">
        <f t="shared" si="178"/>
        <v>0</v>
      </c>
      <c r="CU184">
        <f t="shared" si="179"/>
        <v>0</v>
      </c>
      <c r="CV184">
        <f t="shared" si="180"/>
        <v>0</v>
      </c>
      <c r="CW184">
        <f t="shared" si="181"/>
        <v>0</v>
      </c>
      <c r="CX184">
        <f t="shared" si="182"/>
        <v>0</v>
      </c>
      <c r="CY184">
        <f t="shared" si="183"/>
        <v>0</v>
      </c>
      <c r="CZ184">
        <f t="shared" si="184"/>
        <v>0</v>
      </c>
      <c r="DN184">
        <v>0</v>
      </c>
      <c r="DO184">
        <v>0</v>
      </c>
      <c r="DP184">
        <v>1</v>
      </c>
      <c r="DQ184">
        <v>1</v>
      </c>
      <c r="DU184">
        <v>1010</v>
      </c>
      <c r="DV184" t="s">
        <v>202</v>
      </c>
      <c r="DW184" t="s">
        <v>202</v>
      </c>
      <c r="DX184">
        <v>1</v>
      </c>
      <c r="EE184">
        <v>48082719</v>
      </c>
      <c r="EF184">
        <v>8</v>
      </c>
      <c r="EG184" t="s">
        <v>151</v>
      </c>
      <c r="EH184">
        <v>0</v>
      </c>
      <c r="EJ184">
        <v>1</v>
      </c>
      <c r="EK184">
        <v>900005</v>
      </c>
      <c r="EL184" t="s">
        <v>260</v>
      </c>
      <c r="EM184" t="s">
        <v>261</v>
      </c>
      <c r="EQ184">
        <v>0</v>
      </c>
      <c r="ER184">
        <v>0</v>
      </c>
      <c r="ES184">
        <v>14.37</v>
      </c>
      <c r="ET184">
        <v>0</v>
      </c>
      <c r="EU184">
        <v>0</v>
      </c>
      <c r="EV184">
        <v>0</v>
      </c>
      <c r="EW184">
        <v>0</v>
      </c>
      <c r="EX184">
        <v>0</v>
      </c>
      <c r="EZ184">
        <v>5</v>
      </c>
      <c r="FC184">
        <v>1</v>
      </c>
      <c r="FD184">
        <v>18</v>
      </c>
      <c r="FF184">
        <v>110</v>
      </c>
      <c r="FQ184">
        <v>0</v>
      </c>
      <c r="FR184">
        <f t="shared" si="185"/>
        <v>0</v>
      </c>
      <c r="FS184">
        <v>0</v>
      </c>
      <c r="FX184">
        <v>0</v>
      </c>
      <c r="FY184">
        <v>0</v>
      </c>
      <c r="GA184" t="s">
        <v>321</v>
      </c>
      <c r="GD184">
        <v>1</v>
      </c>
      <c r="GF184">
        <v>257031402</v>
      </c>
      <c r="GG184">
        <v>2</v>
      </c>
      <c r="GH184">
        <v>3</v>
      </c>
      <c r="GI184">
        <v>3</v>
      </c>
      <c r="GJ184">
        <v>0</v>
      </c>
      <c r="GK184">
        <v>0</v>
      </c>
      <c r="GL184">
        <f t="shared" si="186"/>
        <v>0</v>
      </c>
      <c r="GM184">
        <f t="shared" si="187"/>
        <v>7792.85</v>
      </c>
      <c r="GN184">
        <f t="shared" si="188"/>
        <v>7792.85</v>
      </c>
      <c r="GO184">
        <f t="shared" si="189"/>
        <v>0</v>
      </c>
      <c r="GP184">
        <f t="shared" si="190"/>
        <v>0</v>
      </c>
      <c r="GR184">
        <v>2</v>
      </c>
      <c r="GS184">
        <v>1</v>
      </c>
      <c r="GT184">
        <v>0</v>
      </c>
      <c r="GV184">
        <f t="shared" si="191"/>
        <v>0</v>
      </c>
      <c r="GW184">
        <v>1</v>
      </c>
      <c r="GX184">
        <f t="shared" si="192"/>
        <v>0</v>
      </c>
      <c r="HA184">
        <v>0</v>
      </c>
      <c r="HB184">
        <v>0</v>
      </c>
      <c r="HC184">
        <f t="shared" si="193"/>
        <v>0</v>
      </c>
      <c r="IK184">
        <v>0</v>
      </c>
    </row>
    <row r="185" spans="1:245" ht="12.75">
      <c r="A185">
        <v>18</v>
      </c>
      <c r="B185">
        <v>1</v>
      </c>
      <c r="C185">
        <v>181</v>
      </c>
      <c r="E185" t="s">
        <v>322</v>
      </c>
      <c r="F185" t="s">
        <v>200</v>
      </c>
      <c r="G185" t="s">
        <v>323</v>
      </c>
      <c r="H185" t="s">
        <v>202</v>
      </c>
      <c r="I185">
        <f>I178*J185</f>
        <v>12</v>
      </c>
      <c r="J185">
        <v>19.047619047619047</v>
      </c>
      <c r="O185">
        <f t="shared" si="159"/>
        <v>6800.06</v>
      </c>
      <c r="P185">
        <f t="shared" si="160"/>
        <v>6800.06</v>
      </c>
      <c r="Q185">
        <f t="shared" si="161"/>
        <v>0</v>
      </c>
      <c r="R185">
        <f t="shared" si="162"/>
        <v>0</v>
      </c>
      <c r="S185">
        <f t="shared" si="163"/>
        <v>0</v>
      </c>
      <c r="T185">
        <f t="shared" si="164"/>
        <v>0</v>
      </c>
      <c r="U185">
        <f t="shared" si="165"/>
        <v>0</v>
      </c>
      <c r="V185">
        <f t="shared" si="166"/>
        <v>0</v>
      </c>
      <c r="W185">
        <f t="shared" si="167"/>
        <v>0</v>
      </c>
      <c r="X185">
        <f t="shared" si="168"/>
        <v>0</v>
      </c>
      <c r="Y185">
        <f t="shared" si="169"/>
        <v>0</v>
      </c>
      <c r="AA185">
        <v>51669678</v>
      </c>
      <c r="AB185">
        <f t="shared" si="170"/>
        <v>88.82</v>
      </c>
      <c r="AC185">
        <f t="shared" si="171"/>
        <v>88.82</v>
      </c>
      <c r="AD185">
        <f t="shared" si="194"/>
        <v>0</v>
      </c>
      <c r="AE185">
        <f t="shared" si="195"/>
        <v>0</v>
      </c>
      <c r="AF185">
        <f t="shared" si="196"/>
        <v>0</v>
      </c>
      <c r="AG185">
        <f t="shared" si="172"/>
        <v>0</v>
      </c>
      <c r="AH185">
        <f t="shared" si="197"/>
        <v>0</v>
      </c>
      <c r="AI185">
        <f t="shared" si="198"/>
        <v>0</v>
      </c>
      <c r="AJ185">
        <f t="shared" si="173"/>
        <v>0</v>
      </c>
      <c r="AK185">
        <v>88.82</v>
      </c>
      <c r="AL185">
        <v>88.82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6.38</v>
      </c>
      <c r="BH185">
        <v>3</v>
      </c>
      <c r="BI185">
        <v>1</v>
      </c>
      <c r="BM185">
        <v>900005</v>
      </c>
      <c r="BN185">
        <v>0</v>
      </c>
      <c r="BP185">
        <v>0</v>
      </c>
      <c r="BQ185">
        <v>8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Z185">
        <v>0</v>
      </c>
      <c r="CA185">
        <v>0</v>
      </c>
      <c r="CE185">
        <v>0</v>
      </c>
      <c r="CF185">
        <v>0</v>
      </c>
      <c r="CG185">
        <v>0</v>
      </c>
      <c r="CM185">
        <v>0</v>
      </c>
      <c r="CO185">
        <v>0</v>
      </c>
      <c r="CP185">
        <f t="shared" si="174"/>
        <v>6800.06</v>
      </c>
      <c r="CQ185">
        <f t="shared" si="175"/>
        <v>566.6715999999999</v>
      </c>
      <c r="CR185">
        <f t="shared" si="176"/>
        <v>0</v>
      </c>
      <c r="CS185">
        <f t="shared" si="177"/>
        <v>0</v>
      </c>
      <c r="CT185">
        <f t="shared" si="178"/>
        <v>0</v>
      </c>
      <c r="CU185">
        <f t="shared" si="179"/>
        <v>0</v>
      </c>
      <c r="CV185">
        <f t="shared" si="180"/>
        <v>0</v>
      </c>
      <c r="CW185">
        <f t="shared" si="181"/>
        <v>0</v>
      </c>
      <c r="CX185">
        <f t="shared" si="182"/>
        <v>0</v>
      </c>
      <c r="CY185">
        <f t="shared" si="183"/>
        <v>0</v>
      </c>
      <c r="CZ185">
        <f t="shared" si="184"/>
        <v>0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202</v>
      </c>
      <c r="DW185" t="s">
        <v>202</v>
      </c>
      <c r="DX185">
        <v>1</v>
      </c>
      <c r="EE185">
        <v>48082719</v>
      </c>
      <c r="EF185">
        <v>8</v>
      </c>
      <c r="EG185" t="s">
        <v>151</v>
      </c>
      <c r="EH185">
        <v>0</v>
      </c>
      <c r="EJ185">
        <v>1</v>
      </c>
      <c r="EK185">
        <v>900005</v>
      </c>
      <c r="EL185" t="s">
        <v>260</v>
      </c>
      <c r="EM185" t="s">
        <v>261</v>
      </c>
      <c r="EQ185">
        <v>0</v>
      </c>
      <c r="ER185">
        <v>0</v>
      </c>
      <c r="ES185">
        <v>88.82</v>
      </c>
      <c r="ET185">
        <v>0</v>
      </c>
      <c r="EU185">
        <v>0</v>
      </c>
      <c r="EV185">
        <v>0</v>
      </c>
      <c r="EW185">
        <v>0</v>
      </c>
      <c r="EX185">
        <v>0</v>
      </c>
      <c r="EZ185">
        <v>5</v>
      </c>
      <c r="FC185">
        <v>1</v>
      </c>
      <c r="FD185">
        <v>18</v>
      </c>
      <c r="FF185">
        <v>680</v>
      </c>
      <c r="FQ185">
        <v>0</v>
      </c>
      <c r="FR185">
        <f t="shared" si="185"/>
        <v>0</v>
      </c>
      <c r="FS185">
        <v>0</v>
      </c>
      <c r="FX185">
        <v>0</v>
      </c>
      <c r="FY185">
        <v>0</v>
      </c>
      <c r="GA185" t="s">
        <v>324</v>
      </c>
      <c r="GD185">
        <v>1</v>
      </c>
      <c r="GF185">
        <v>-1133236278</v>
      </c>
      <c r="GG185">
        <v>2</v>
      </c>
      <c r="GH185">
        <v>3</v>
      </c>
      <c r="GI185">
        <v>3</v>
      </c>
      <c r="GJ185">
        <v>0</v>
      </c>
      <c r="GK185">
        <v>0</v>
      </c>
      <c r="GL185">
        <f t="shared" si="186"/>
        <v>0</v>
      </c>
      <c r="GM185">
        <f t="shared" si="187"/>
        <v>6800.06</v>
      </c>
      <c r="GN185">
        <f t="shared" si="188"/>
        <v>6800.06</v>
      </c>
      <c r="GO185">
        <f t="shared" si="189"/>
        <v>0</v>
      </c>
      <c r="GP185">
        <f t="shared" si="190"/>
        <v>0</v>
      </c>
      <c r="GR185">
        <v>2</v>
      </c>
      <c r="GS185">
        <v>1</v>
      </c>
      <c r="GT185">
        <v>0</v>
      </c>
      <c r="GV185">
        <f t="shared" si="191"/>
        <v>0</v>
      </c>
      <c r="GW185">
        <v>1</v>
      </c>
      <c r="GX185">
        <f t="shared" si="192"/>
        <v>0</v>
      </c>
      <c r="HA185">
        <v>0</v>
      </c>
      <c r="HB185">
        <v>0</v>
      </c>
      <c r="HC185">
        <f t="shared" si="193"/>
        <v>0</v>
      </c>
      <c r="IK185">
        <v>0</v>
      </c>
    </row>
    <row r="186" spans="1:245" ht="12.75">
      <c r="A186">
        <v>18</v>
      </c>
      <c r="B186">
        <v>1</v>
      </c>
      <c r="C186">
        <v>182</v>
      </c>
      <c r="E186" t="s">
        <v>325</v>
      </c>
      <c r="F186" t="s">
        <v>200</v>
      </c>
      <c r="G186" t="s">
        <v>326</v>
      </c>
      <c r="H186" t="s">
        <v>202</v>
      </c>
      <c r="I186">
        <f>I178*J186</f>
        <v>12</v>
      </c>
      <c r="J186">
        <v>19.047619047619047</v>
      </c>
      <c r="O186">
        <f t="shared" si="159"/>
        <v>1100.17</v>
      </c>
      <c r="P186">
        <f t="shared" si="160"/>
        <v>1100.17</v>
      </c>
      <c r="Q186">
        <f t="shared" si="161"/>
        <v>0</v>
      </c>
      <c r="R186">
        <f t="shared" si="162"/>
        <v>0</v>
      </c>
      <c r="S186">
        <f t="shared" si="163"/>
        <v>0</v>
      </c>
      <c r="T186">
        <f t="shared" si="164"/>
        <v>0</v>
      </c>
      <c r="U186">
        <f t="shared" si="165"/>
        <v>0</v>
      </c>
      <c r="V186">
        <f t="shared" si="166"/>
        <v>0</v>
      </c>
      <c r="W186">
        <f t="shared" si="167"/>
        <v>0</v>
      </c>
      <c r="X186">
        <f t="shared" si="168"/>
        <v>0</v>
      </c>
      <c r="Y186">
        <f t="shared" si="169"/>
        <v>0</v>
      </c>
      <c r="AA186">
        <v>51669678</v>
      </c>
      <c r="AB186">
        <f t="shared" si="170"/>
        <v>14.37</v>
      </c>
      <c r="AC186">
        <f t="shared" si="171"/>
        <v>14.37</v>
      </c>
      <c r="AD186">
        <f t="shared" si="194"/>
        <v>0</v>
      </c>
      <c r="AE186">
        <f t="shared" si="195"/>
        <v>0</v>
      </c>
      <c r="AF186">
        <f t="shared" si="196"/>
        <v>0</v>
      </c>
      <c r="AG186">
        <f t="shared" si="172"/>
        <v>0</v>
      </c>
      <c r="AH186">
        <f t="shared" si="197"/>
        <v>0</v>
      </c>
      <c r="AI186">
        <f t="shared" si="198"/>
        <v>0</v>
      </c>
      <c r="AJ186">
        <f t="shared" si="173"/>
        <v>0</v>
      </c>
      <c r="AK186">
        <v>14.37</v>
      </c>
      <c r="AL186">
        <v>14.37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1</v>
      </c>
      <c r="AZ186">
        <v>1</v>
      </c>
      <c r="BA186">
        <v>1</v>
      </c>
      <c r="BB186">
        <v>1</v>
      </c>
      <c r="BC186">
        <v>6.38</v>
      </c>
      <c r="BH186">
        <v>3</v>
      </c>
      <c r="BI186">
        <v>1</v>
      </c>
      <c r="BM186">
        <v>900005</v>
      </c>
      <c r="BN186">
        <v>0</v>
      </c>
      <c r="BP186">
        <v>0</v>
      </c>
      <c r="BQ186">
        <v>8</v>
      </c>
      <c r="BR186">
        <v>0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Z186">
        <v>0</v>
      </c>
      <c r="CA186">
        <v>0</v>
      </c>
      <c r="CE186">
        <v>0</v>
      </c>
      <c r="CF186">
        <v>0</v>
      </c>
      <c r="CG186">
        <v>0</v>
      </c>
      <c r="CM186">
        <v>0</v>
      </c>
      <c r="CO186">
        <v>0</v>
      </c>
      <c r="CP186">
        <f t="shared" si="174"/>
        <v>1100.17</v>
      </c>
      <c r="CQ186">
        <f t="shared" si="175"/>
        <v>91.6806</v>
      </c>
      <c r="CR186">
        <f t="shared" si="176"/>
        <v>0</v>
      </c>
      <c r="CS186">
        <f t="shared" si="177"/>
        <v>0</v>
      </c>
      <c r="CT186">
        <f t="shared" si="178"/>
        <v>0</v>
      </c>
      <c r="CU186">
        <f t="shared" si="179"/>
        <v>0</v>
      </c>
      <c r="CV186">
        <f t="shared" si="180"/>
        <v>0</v>
      </c>
      <c r="CW186">
        <f t="shared" si="181"/>
        <v>0</v>
      </c>
      <c r="CX186">
        <f t="shared" si="182"/>
        <v>0</v>
      </c>
      <c r="CY186">
        <f t="shared" si="183"/>
        <v>0</v>
      </c>
      <c r="CZ186">
        <f t="shared" si="184"/>
        <v>0</v>
      </c>
      <c r="DN186">
        <v>0</v>
      </c>
      <c r="DO186">
        <v>0</v>
      </c>
      <c r="DP186">
        <v>1</v>
      </c>
      <c r="DQ186">
        <v>1</v>
      </c>
      <c r="DU186">
        <v>1010</v>
      </c>
      <c r="DV186" t="s">
        <v>202</v>
      </c>
      <c r="DW186" t="s">
        <v>202</v>
      </c>
      <c r="DX186">
        <v>1</v>
      </c>
      <c r="EE186">
        <v>48082719</v>
      </c>
      <c r="EF186">
        <v>8</v>
      </c>
      <c r="EG186" t="s">
        <v>151</v>
      </c>
      <c r="EH186">
        <v>0</v>
      </c>
      <c r="EJ186">
        <v>1</v>
      </c>
      <c r="EK186">
        <v>900005</v>
      </c>
      <c r="EL186" t="s">
        <v>260</v>
      </c>
      <c r="EM186" t="s">
        <v>261</v>
      </c>
      <c r="EQ186">
        <v>0</v>
      </c>
      <c r="ER186">
        <v>0</v>
      </c>
      <c r="ES186">
        <v>14.37</v>
      </c>
      <c r="ET186">
        <v>0</v>
      </c>
      <c r="EU186">
        <v>0</v>
      </c>
      <c r="EV186">
        <v>0</v>
      </c>
      <c r="EW186">
        <v>0</v>
      </c>
      <c r="EX186">
        <v>0</v>
      </c>
      <c r="EZ186">
        <v>5</v>
      </c>
      <c r="FC186">
        <v>1</v>
      </c>
      <c r="FD186">
        <v>18</v>
      </c>
      <c r="FF186">
        <v>110</v>
      </c>
      <c r="FQ186">
        <v>0</v>
      </c>
      <c r="FR186">
        <f t="shared" si="185"/>
        <v>0</v>
      </c>
      <c r="FS186">
        <v>0</v>
      </c>
      <c r="FX186">
        <v>0</v>
      </c>
      <c r="FY186">
        <v>0</v>
      </c>
      <c r="GA186" t="s">
        <v>321</v>
      </c>
      <c r="GD186">
        <v>1</v>
      </c>
      <c r="GF186">
        <v>1583007622</v>
      </c>
      <c r="GG186">
        <v>2</v>
      </c>
      <c r="GH186">
        <v>3</v>
      </c>
      <c r="GI186">
        <v>3</v>
      </c>
      <c r="GJ186">
        <v>0</v>
      </c>
      <c r="GK186">
        <v>0</v>
      </c>
      <c r="GL186">
        <f t="shared" si="186"/>
        <v>0</v>
      </c>
      <c r="GM186">
        <f t="shared" si="187"/>
        <v>1100.17</v>
      </c>
      <c r="GN186">
        <f t="shared" si="188"/>
        <v>1100.17</v>
      </c>
      <c r="GO186">
        <f t="shared" si="189"/>
        <v>0</v>
      </c>
      <c r="GP186">
        <f t="shared" si="190"/>
        <v>0</v>
      </c>
      <c r="GR186">
        <v>2</v>
      </c>
      <c r="GS186">
        <v>1</v>
      </c>
      <c r="GT186">
        <v>0</v>
      </c>
      <c r="GV186">
        <f t="shared" si="191"/>
        <v>0</v>
      </c>
      <c r="GW186">
        <v>1</v>
      </c>
      <c r="GX186">
        <f t="shared" si="192"/>
        <v>0</v>
      </c>
      <c r="HA186">
        <v>0</v>
      </c>
      <c r="HB186">
        <v>0</v>
      </c>
      <c r="HC186">
        <f t="shared" si="193"/>
        <v>0</v>
      </c>
      <c r="IK186">
        <v>0</v>
      </c>
    </row>
    <row r="187" spans="1:245" ht="12.75">
      <c r="A187">
        <v>18</v>
      </c>
      <c r="B187">
        <v>1</v>
      </c>
      <c r="C187">
        <v>183</v>
      </c>
      <c r="E187" t="s">
        <v>327</v>
      </c>
      <c r="F187" t="s">
        <v>200</v>
      </c>
      <c r="G187" t="s">
        <v>328</v>
      </c>
      <c r="H187" t="s">
        <v>202</v>
      </c>
      <c r="I187">
        <f>I178*J187</f>
        <v>6</v>
      </c>
      <c r="J187">
        <v>9.523809523809524</v>
      </c>
      <c r="O187">
        <f t="shared" si="159"/>
        <v>1450.05</v>
      </c>
      <c r="P187">
        <f t="shared" si="160"/>
        <v>1450.05</v>
      </c>
      <c r="Q187">
        <f t="shared" si="161"/>
        <v>0</v>
      </c>
      <c r="R187">
        <f t="shared" si="162"/>
        <v>0</v>
      </c>
      <c r="S187">
        <f t="shared" si="163"/>
        <v>0</v>
      </c>
      <c r="T187">
        <f t="shared" si="164"/>
        <v>0</v>
      </c>
      <c r="U187">
        <f t="shared" si="165"/>
        <v>0</v>
      </c>
      <c r="V187">
        <f t="shared" si="166"/>
        <v>0</v>
      </c>
      <c r="W187">
        <f t="shared" si="167"/>
        <v>0</v>
      </c>
      <c r="X187">
        <f t="shared" si="168"/>
        <v>0</v>
      </c>
      <c r="Y187">
        <f t="shared" si="169"/>
        <v>0</v>
      </c>
      <c r="AA187">
        <v>51669678</v>
      </c>
      <c r="AB187">
        <f t="shared" si="170"/>
        <v>37.88</v>
      </c>
      <c r="AC187">
        <f t="shared" si="171"/>
        <v>37.88</v>
      </c>
      <c r="AD187">
        <f t="shared" si="194"/>
        <v>0</v>
      </c>
      <c r="AE187">
        <f t="shared" si="195"/>
        <v>0</v>
      </c>
      <c r="AF187">
        <f t="shared" si="196"/>
        <v>0</v>
      </c>
      <c r="AG187">
        <f t="shared" si="172"/>
        <v>0</v>
      </c>
      <c r="AH187">
        <f t="shared" si="197"/>
        <v>0</v>
      </c>
      <c r="AI187">
        <f t="shared" si="198"/>
        <v>0</v>
      </c>
      <c r="AJ187">
        <f t="shared" si="173"/>
        <v>0</v>
      </c>
      <c r="AK187">
        <v>37.88</v>
      </c>
      <c r="AL187">
        <v>37.88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v>6.38</v>
      </c>
      <c r="BH187">
        <v>3</v>
      </c>
      <c r="BI187">
        <v>1</v>
      </c>
      <c r="BM187">
        <v>900005</v>
      </c>
      <c r="BN187">
        <v>0</v>
      </c>
      <c r="BP187">
        <v>0</v>
      </c>
      <c r="BQ187">
        <v>8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Z187">
        <v>0</v>
      </c>
      <c r="CA187">
        <v>0</v>
      </c>
      <c r="CE187">
        <v>0</v>
      </c>
      <c r="CF187">
        <v>0</v>
      </c>
      <c r="CG187">
        <v>0</v>
      </c>
      <c r="CM187">
        <v>0</v>
      </c>
      <c r="CO187">
        <v>0</v>
      </c>
      <c r="CP187">
        <f t="shared" si="174"/>
        <v>1450.05</v>
      </c>
      <c r="CQ187">
        <f t="shared" si="175"/>
        <v>241.67440000000002</v>
      </c>
      <c r="CR187">
        <f t="shared" si="176"/>
        <v>0</v>
      </c>
      <c r="CS187">
        <f t="shared" si="177"/>
        <v>0</v>
      </c>
      <c r="CT187">
        <f t="shared" si="178"/>
        <v>0</v>
      </c>
      <c r="CU187">
        <f t="shared" si="179"/>
        <v>0</v>
      </c>
      <c r="CV187">
        <f t="shared" si="180"/>
        <v>0</v>
      </c>
      <c r="CW187">
        <f t="shared" si="181"/>
        <v>0</v>
      </c>
      <c r="CX187">
        <f t="shared" si="182"/>
        <v>0</v>
      </c>
      <c r="CY187">
        <f t="shared" si="183"/>
        <v>0</v>
      </c>
      <c r="CZ187">
        <f t="shared" si="184"/>
        <v>0</v>
      </c>
      <c r="DN187">
        <v>0</v>
      </c>
      <c r="DO187">
        <v>0</v>
      </c>
      <c r="DP187">
        <v>1</v>
      </c>
      <c r="DQ187">
        <v>1</v>
      </c>
      <c r="DU187">
        <v>1010</v>
      </c>
      <c r="DV187" t="s">
        <v>202</v>
      </c>
      <c r="DW187" t="s">
        <v>202</v>
      </c>
      <c r="DX187">
        <v>1</v>
      </c>
      <c r="EE187">
        <v>48082719</v>
      </c>
      <c r="EF187">
        <v>8</v>
      </c>
      <c r="EG187" t="s">
        <v>151</v>
      </c>
      <c r="EH187">
        <v>0</v>
      </c>
      <c r="EJ187">
        <v>1</v>
      </c>
      <c r="EK187">
        <v>900005</v>
      </c>
      <c r="EL187" t="s">
        <v>260</v>
      </c>
      <c r="EM187" t="s">
        <v>261</v>
      </c>
      <c r="EQ187">
        <v>0</v>
      </c>
      <c r="ER187">
        <v>0</v>
      </c>
      <c r="ES187">
        <v>37.88</v>
      </c>
      <c r="ET187">
        <v>0</v>
      </c>
      <c r="EU187">
        <v>0</v>
      </c>
      <c r="EV187">
        <v>0</v>
      </c>
      <c r="EW187">
        <v>0</v>
      </c>
      <c r="EX187">
        <v>0</v>
      </c>
      <c r="EZ187">
        <v>5</v>
      </c>
      <c r="FC187">
        <v>1</v>
      </c>
      <c r="FD187">
        <v>18</v>
      </c>
      <c r="FF187">
        <v>290</v>
      </c>
      <c r="FQ187">
        <v>0</v>
      </c>
      <c r="FR187">
        <f t="shared" si="185"/>
        <v>0</v>
      </c>
      <c r="FS187">
        <v>0</v>
      </c>
      <c r="FX187">
        <v>0</v>
      </c>
      <c r="FY187">
        <v>0</v>
      </c>
      <c r="GA187" t="s">
        <v>329</v>
      </c>
      <c r="GD187">
        <v>1</v>
      </c>
      <c r="GF187">
        <v>1194916481</v>
      </c>
      <c r="GG187">
        <v>2</v>
      </c>
      <c r="GH187">
        <v>3</v>
      </c>
      <c r="GI187">
        <v>3</v>
      </c>
      <c r="GJ187">
        <v>0</v>
      </c>
      <c r="GK187">
        <v>0</v>
      </c>
      <c r="GL187">
        <f t="shared" si="186"/>
        <v>0</v>
      </c>
      <c r="GM187">
        <f t="shared" si="187"/>
        <v>1450.05</v>
      </c>
      <c r="GN187">
        <f t="shared" si="188"/>
        <v>1450.05</v>
      </c>
      <c r="GO187">
        <f t="shared" si="189"/>
        <v>0</v>
      </c>
      <c r="GP187">
        <f t="shared" si="190"/>
        <v>0</v>
      </c>
      <c r="GR187">
        <v>2</v>
      </c>
      <c r="GS187">
        <v>1</v>
      </c>
      <c r="GT187">
        <v>0</v>
      </c>
      <c r="GV187">
        <f t="shared" si="191"/>
        <v>0</v>
      </c>
      <c r="GW187">
        <v>1</v>
      </c>
      <c r="GX187">
        <f t="shared" si="192"/>
        <v>0</v>
      </c>
      <c r="HA187">
        <v>0</v>
      </c>
      <c r="HB187">
        <v>0</v>
      </c>
      <c r="HC187">
        <f t="shared" si="193"/>
        <v>0</v>
      </c>
      <c r="IK187">
        <v>0</v>
      </c>
    </row>
    <row r="188" spans="1:245" ht="12.75">
      <c r="A188">
        <v>18</v>
      </c>
      <c r="B188">
        <v>1</v>
      </c>
      <c r="C188">
        <v>184</v>
      </c>
      <c r="E188" t="s">
        <v>330</v>
      </c>
      <c r="F188" t="s">
        <v>200</v>
      </c>
      <c r="G188" t="s">
        <v>331</v>
      </c>
      <c r="H188" t="s">
        <v>202</v>
      </c>
      <c r="I188">
        <f>I178*J188</f>
        <v>16</v>
      </c>
      <c r="J188">
        <v>25.396825396825395</v>
      </c>
      <c r="O188">
        <f t="shared" si="159"/>
        <v>2133.47</v>
      </c>
      <c r="P188">
        <f t="shared" si="160"/>
        <v>2133.47</v>
      </c>
      <c r="Q188">
        <f t="shared" si="161"/>
        <v>0</v>
      </c>
      <c r="R188">
        <f t="shared" si="162"/>
        <v>0</v>
      </c>
      <c r="S188">
        <f t="shared" si="163"/>
        <v>0</v>
      </c>
      <c r="T188">
        <f t="shared" si="164"/>
        <v>0</v>
      </c>
      <c r="U188">
        <f t="shared" si="165"/>
        <v>0</v>
      </c>
      <c r="V188">
        <f t="shared" si="166"/>
        <v>0</v>
      </c>
      <c r="W188">
        <f t="shared" si="167"/>
        <v>0</v>
      </c>
      <c r="X188">
        <f t="shared" si="168"/>
        <v>0</v>
      </c>
      <c r="Y188">
        <f t="shared" si="169"/>
        <v>0</v>
      </c>
      <c r="AA188">
        <v>51669678</v>
      </c>
      <c r="AB188">
        <f t="shared" si="170"/>
        <v>20.9</v>
      </c>
      <c r="AC188">
        <f t="shared" si="171"/>
        <v>20.9</v>
      </c>
      <c r="AD188">
        <f t="shared" si="194"/>
        <v>0</v>
      </c>
      <c r="AE188">
        <f t="shared" si="195"/>
        <v>0</v>
      </c>
      <c r="AF188">
        <f t="shared" si="196"/>
        <v>0</v>
      </c>
      <c r="AG188">
        <f t="shared" si="172"/>
        <v>0</v>
      </c>
      <c r="AH188">
        <f t="shared" si="197"/>
        <v>0</v>
      </c>
      <c r="AI188">
        <f t="shared" si="198"/>
        <v>0</v>
      </c>
      <c r="AJ188">
        <f t="shared" si="173"/>
        <v>0</v>
      </c>
      <c r="AK188">
        <v>20.9</v>
      </c>
      <c r="AL188">
        <v>20.9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1</v>
      </c>
      <c r="AZ188">
        <v>1</v>
      </c>
      <c r="BA188">
        <v>1</v>
      </c>
      <c r="BB188">
        <v>1</v>
      </c>
      <c r="BC188">
        <v>6.38</v>
      </c>
      <c r="BH188">
        <v>3</v>
      </c>
      <c r="BI188">
        <v>1</v>
      </c>
      <c r="BM188">
        <v>900005</v>
      </c>
      <c r="BN188">
        <v>0</v>
      </c>
      <c r="BP188">
        <v>0</v>
      </c>
      <c r="BQ188">
        <v>8</v>
      </c>
      <c r="BR188">
        <v>0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0</v>
      </c>
      <c r="CA188">
        <v>0</v>
      </c>
      <c r="CE188">
        <v>0</v>
      </c>
      <c r="CF188">
        <v>0</v>
      </c>
      <c r="CG188">
        <v>0</v>
      </c>
      <c r="CM188">
        <v>0</v>
      </c>
      <c r="CO188">
        <v>0</v>
      </c>
      <c r="CP188">
        <f t="shared" si="174"/>
        <v>2133.47</v>
      </c>
      <c r="CQ188">
        <f t="shared" si="175"/>
        <v>133.34199999999998</v>
      </c>
      <c r="CR188">
        <f t="shared" si="176"/>
        <v>0</v>
      </c>
      <c r="CS188">
        <f t="shared" si="177"/>
        <v>0</v>
      </c>
      <c r="CT188">
        <f t="shared" si="178"/>
        <v>0</v>
      </c>
      <c r="CU188">
        <f t="shared" si="179"/>
        <v>0</v>
      </c>
      <c r="CV188">
        <f t="shared" si="180"/>
        <v>0</v>
      </c>
      <c r="CW188">
        <f t="shared" si="181"/>
        <v>0</v>
      </c>
      <c r="CX188">
        <f t="shared" si="182"/>
        <v>0</v>
      </c>
      <c r="CY188">
        <f t="shared" si="183"/>
        <v>0</v>
      </c>
      <c r="CZ188">
        <f t="shared" si="184"/>
        <v>0</v>
      </c>
      <c r="DN188">
        <v>0</v>
      </c>
      <c r="DO188">
        <v>0</v>
      </c>
      <c r="DP188">
        <v>1</v>
      </c>
      <c r="DQ188">
        <v>1</v>
      </c>
      <c r="DU188">
        <v>1010</v>
      </c>
      <c r="DV188" t="s">
        <v>202</v>
      </c>
      <c r="DW188" t="s">
        <v>202</v>
      </c>
      <c r="DX188">
        <v>1</v>
      </c>
      <c r="EE188">
        <v>48082719</v>
      </c>
      <c r="EF188">
        <v>8</v>
      </c>
      <c r="EG188" t="s">
        <v>151</v>
      </c>
      <c r="EH188">
        <v>0</v>
      </c>
      <c r="EJ188">
        <v>1</v>
      </c>
      <c r="EK188">
        <v>900005</v>
      </c>
      <c r="EL188" t="s">
        <v>260</v>
      </c>
      <c r="EM188" t="s">
        <v>261</v>
      </c>
      <c r="EQ188">
        <v>0</v>
      </c>
      <c r="ER188">
        <v>0</v>
      </c>
      <c r="ES188">
        <v>20.9</v>
      </c>
      <c r="ET188">
        <v>0</v>
      </c>
      <c r="EU188">
        <v>0</v>
      </c>
      <c r="EV188">
        <v>0</v>
      </c>
      <c r="EW188">
        <v>0</v>
      </c>
      <c r="EX188">
        <v>0</v>
      </c>
      <c r="EZ188">
        <v>5</v>
      </c>
      <c r="FC188">
        <v>1</v>
      </c>
      <c r="FD188">
        <v>18</v>
      </c>
      <c r="FF188">
        <v>160</v>
      </c>
      <c r="FQ188">
        <v>0</v>
      </c>
      <c r="FR188">
        <f t="shared" si="185"/>
        <v>0</v>
      </c>
      <c r="FS188">
        <v>0</v>
      </c>
      <c r="FX188">
        <v>0</v>
      </c>
      <c r="FY188">
        <v>0</v>
      </c>
      <c r="GA188" t="s">
        <v>332</v>
      </c>
      <c r="GD188">
        <v>1</v>
      </c>
      <c r="GF188">
        <v>122561304</v>
      </c>
      <c r="GG188">
        <v>2</v>
      </c>
      <c r="GH188">
        <v>3</v>
      </c>
      <c r="GI188">
        <v>3</v>
      </c>
      <c r="GJ188">
        <v>0</v>
      </c>
      <c r="GK188">
        <v>0</v>
      </c>
      <c r="GL188">
        <f t="shared" si="186"/>
        <v>0</v>
      </c>
      <c r="GM188">
        <f t="shared" si="187"/>
        <v>2133.47</v>
      </c>
      <c r="GN188">
        <f t="shared" si="188"/>
        <v>2133.47</v>
      </c>
      <c r="GO188">
        <f t="shared" si="189"/>
        <v>0</v>
      </c>
      <c r="GP188">
        <f t="shared" si="190"/>
        <v>0</v>
      </c>
      <c r="GR188">
        <v>2</v>
      </c>
      <c r="GS188">
        <v>1</v>
      </c>
      <c r="GT188">
        <v>0</v>
      </c>
      <c r="GV188">
        <f t="shared" si="191"/>
        <v>0</v>
      </c>
      <c r="GW188">
        <v>1</v>
      </c>
      <c r="GX188">
        <f t="shared" si="192"/>
        <v>0</v>
      </c>
      <c r="HA188">
        <v>0</v>
      </c>
      <c r="HB188">
        <v>0</v>
      </c>
      <c r="HC188">
        <f t="shared" si="193"/>
        <v>0</v>
      </c>
      <c r="IK188">
        <v>0</v>
      </c>
    </row>
    <row r="189" spans="1:245" ht="12.75">
      <c r="A189">
        <v>18</v>
      </c>
      <c r="B189">
        <v>1</v>
      </c>
      <c r="C189">
        <v>185</v>
      </c>
      <c r="E189" t="s">
        <v>333</v>
      </c>
      <c r="F189" t="s">
        <v>200</v>
      </c>
      <c r="G189" t="s">
        <v>334</v>
      </c>
      <c r="H189" t="s">
        <v>202</v>
      </c>
      <c r="I189">
        <f>I178*J189</f>
        <v>16</v>
      </c>
      <c r="J189">
        <v>25.396825396825395</v>
      </c>
      <c r="O189">
        <f t="shared" si="159"/>
        <v>2133.47</v>
      </c>
      <c r="P189">
        <f t="shared" si="160"/>
        <v>2133.47</v>
      </c>
      <c r="Q189">
        <f t="shared" si="161"/>
        <v>0</v>
      </c>
      <c r="R189">
        <f t="shared" si="162"/>
        <v>0</v>
      </c>
      <c r="S189">
        <f t="shared" si="163"/>
        <v>0</v>
      </c>
      <c r="T189">
        <f t="shared" si="164"/>
        <v>0</v>
      </c>
      <c r="U189">
        <f t="shared" si="165"/>
        <v>0</v>
      </c>
      <c r="V189">
        <f t="shared" si="166"/>
        <v>0</v>
      </c>
      <c r="W189">
        <f t="shared" si="167"/>
        <v>0</v>
      </c>
      <c r="X189">
        <f t="shared" si="168"/>
        <v>0</v>
      </c>
      <c r="Y189">
        <f t="shared" si="169"/>
        <v>0</v>
      </c>
      <c r="AA189">
        <v>51669678</v>
      </c>
      <c r="AB189">
        <f t="shared" si="170"/>
        <v>20.9</v>
      </c>
      <c r="AC189">
        <f t="shared" si="171"/>
        <v>20.9</v>
      </c>
      <c r="AD189">
        <f t="shared" si="194"/>
        <v>0</v>
      </c>
      <c r="AE189">
        <f t="shared" si="195"/>
        <v>0</v>
      </c>
      <c r="AF189">
        <f t="shared" si="196"/>
        <v>0</v>
      </c>
      <c r="AG189">
        <f t="shared" si="172"/>
        <v>0</v>
      </c>
      <c r="AH189">
        <f t="shared" si="197"/>
        <v>0</v>
      </c>
      <c r="AI189">
        <f t="shared" si="198"/>
        <v>0</v>
      </c>
      <c r="AJ189">
        <f t="shared" si="173"/>
        <v>0</v>
      </c>
      <c r="AK189">
        <v>20.9</v>
      </c>
      <c r="AL189">
        <v>20.9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v>6.38</v>
      </c>
      <c r="BH189">
        <v>3</v>
      </c>
      <c r="BI189">
        <v>1</v>
      </c>
      <c r="BM189">
        <v>900005</v>
      </c>
      <c r="BN189">
        <v>0</v>
      </c>
      <c r="BP189">
        <v>0</v>
      </c>
      <c r="BQ189">
        <v>8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Z189">
        <v>0</v>
      </c>
      <c r="CA189">
        <v>0</v>
      </c>
      <c r="CE189">
        <v>0</v>
      </c>
      <c r="CF189">
        <v>0</v>
      </c>
      <c r="CG189">
        <v>0</v>
      </c>
      <c r="CM189">
        <v>0</v>
      </c>
      <c r="CO189">
        <v>0</v>
      </c>
      <c r="CP189">
        <f t="shared" si="174"/>
        <v>2133.47</v>
      </c>
      <c r="CQ189">
        <f t="shared" si="175"/>
        <v>133.34199999999998</v>
      </c>
      <c r="CR189">
        <f t="shared" si="176"/>
        <v>0</v>
      </c>
      <c r="CS189">
        <f t="shared" si="177"/>
        <v>0</v>
      </c>
      <c r="CT189">
        <f t="shared" si="178"/>
        <v>0</v>
      </c>
      <c r="CU189">
        <f t="shared" si="179"/>
        <v>0</v>
      </c>
      <c r="CV189">
        <f t="shared" si="180"/>
        <v>0</v>
      </c>
      <c r="CW189">
        <f t="shared" si="181"/>
        <v>0</v>
      </c>
      <c r="CX189">
        <f t="shared" si="182"/>
        <v>0</v>
      </c>
      <c r="CY189">
        <f t="shared" si="183"/>
        <v>0</v>
      </c>
      <c r="CZ189">
        <f t="shared" si="184"/>
        <v>0</v>
      </c>
      <c r="DN189">
        <v>0</v>
      </c>
      <c r="DO189">
        <v>0</v>
      </c>
      <c r="DP189">
        <v>1</v>
      </c>
      <c r="DQ189">
        <v>1</v>
      </c>
      <c r="DU189">
        <v>1010</v>
      </c>
      <c r="DV189" t="s">
        <v>202</v>
      </c>
      <c r="DW189" t="s">
        <v>202</v>
      </c>
      <c r="DX189">
        <v>1</v>
      </c>
      <c r="EE189">
        <v>48082719</v>
      </c>
      <c r="EF189">
        <v>8</v>
      </c>
      <c r="EG189" t="s">
        <v>151</v>
      </c>
      <c r="EH189">
        <v>0</v>
      </c>
      <c r="EJ189">
        <v>1</v>
      </c>
      <c r="EK189">
        <v>900005</v>
      </c>
      <c r="EL189" t="s">
        <v>260</v>
      </c>
      <c r="EM189" t="s">
        <v>261</v>
      </c>
      <c r="EQ189">
        <v>0</v>
      </c>
      <c r="ER189">
        <v>0</v>
      </c>
      <c r="ES189">
        <v>20.9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5</v>
      </c>
      <c r="FC189">
        <v>1</v>
      </c>
      <c r="FD189">
        <v>18</v>
      </c>
      <c r="FF189">
        <v>160</v>
      </c>
      <c r="FQ189">
        <v>0</v>
      </c>
      <c r="FR189">
        <f t="shared" si="185"/>
        <v>0</v>
      </c>
      <c r="FS189">
        <v>0</v>
      </c>
      <c r="FX189">
        <v>0</v>
      </c>
      <c r="FY189">
        <v>0</v>
      </c>
      <c r="GA189" t="s">
        <v>332</v>
      </c>
      <c r="GD189">
        <v>1</v>
      </c>
      <c r="GF189">
        <v>-345303851</v>
      </c>
      <c r="GG189">
        <v>2</v>
      </c>
      <c r="GH189">
        <v>3</v>
      </c>
      <c r="GI189">
        <v>3</v>
      </c>
      <c r="GJ189">
        <v>0</v>
      </c>
      <c r="GK189">
        <v>0</v>
      </c>
      <c r="GL189">
        <f t="shared" si="186"/>
        <v>0</v>
      </c>
      <c r="GM189">
        <f t="shared" si="187"/>
        <v>2133.47</v>
      </c>
      <c r="GN189">
        <f t="shared" si="188"/>
        <v>2133.47</v>
      </c>
      <c r="GO189">
        <f t="shared" si="189"/>
        <v>0</v>
      </c>
      <c r="GP189">
        <f t="shared" si="190"/>
        <v>0</v>
      </c>
      <c r="GR189">
        <v>2</v>
      </c>
      <c r="GS189">
        <v>1</v>
      </c>
      <c r="GT189">
        <v>0</v>
      </c>
      <c r="GV189">
        <f t="shared" si="191"/>
        <v>0</v>
      </c>
      <c r="GW189">
        <v>1</v>
      </c>
      <c r="GX189">
        <f t="shared" si="192"/>
        <v>0</v>
      </c>
      <c r="HA189">
        <v>0</v>
      </c>
      <c r="HB189">
        <v>0</v>
      </c>
      <c r="HC189">
        <f t="shared" si="193"/>
        <v>0</v>
      </c>
      <c r="IK189">
        <v>0</v>
      </c>
    </row>
    <row r="190" spans="1:245" ht="12.75">
      <c r="A190">
        <v>18</v>
      </c>
      <c r="B190">
        <v>1</v>
      </c>
      <c r="C190">
        <v>186</v>
      </c>
      <c r="E190" t="s">
        <v>335</v>
      </c>
      <c r="F190" t="s">
        <v>200</v>
      </c>
      <c r="G190" t="s">
        <v>336</v>
      </c>
      <c r="H190" t="s">
        <v>202</v>
      </c>
      <c r="I190">
        <f>I178*J190</f>
        <v>14</v>
      </c>
      <c r="J190">
        <v>22.22222222222222</v>
      </c>
      <c r="O190">
        <f t="shared" si="159"/>
        <v>1283.53</v>
      </c>
      <c r="P190">
        <f t="shared" si="160"/>
        <v>1283.53</v>
      </c>
      <c r="Q190">
        <f t="shared" si="161"/>
        <v>0</v>
      </c>
      <c r="R190">
        <f t="shared" si="162"/>
        <v>0</v>
      </c>
      <c r="S190">
        <f t="shared" si="163"/>
        <v>0</v>
      </c>
      <c r="T190">
        <f t="shared" si="164"/>
        <v>0</v>
      </c>
      <c r="U190">
        <f t="shared" si="165"/>
        <v>0</v>
      </c>
      <c r="V190">
        <f t="shared" si="166"/>
        <v>0</v>
      </c>
      <c r="W190">
        <f t="shared" si="167"/>
        <v>0</v>
      </c>
      <c r="X190">
        <f t="shared" si="168"/>
        <v>0</v>
      </c>
      <c r="Y190">
        <f t="shared" si="169"/>
        <v>0</v>
      </c>
      <c r="AA190">
        <v>51669678</v>
      </c>
      <c r="AB190">
        <f t="shared" si="170"/>
        <v>14.37</v>
      </c>
      <c r="AC190">
        <f t="shared" si="171"/>
        <v>14.37</v>
      </c>
      <c r="AD190">
        <f t="shared" si="194"/>
        <v>0</v>
      </c>
      <c r="AE190">
        <f t="shared" si="195"/>
        <v>0</v>
      </c>
      <c r="AF190">
        <f t="shared" si="196"/>
        <v>0</v>
      </c>
      <c r="AG190">
        <f t="shared" si="172"/>
        <v>0</v>
      </c>
      <c r="AH190">
        <f t="shared" si="197"/>
        <v>0</v>
      </c>
      <c r="AI190">
        <f t="shared" si="198"/>
        <v>0</v>
      </c>
      <c r="AJ190">
        <f t="shared" si="173"/>
        <v>0</v>
      </c>
      <c r="AK190">
        <v>14.37</v>
      </c>
      <c r="AL190">
        <v>14.37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1</v>
      </c>
      <c r="AW190">
        <v>1</v>
      </c>
      <c r="AZ190">
        <v>1</v>
      </c>
      <c r="BA190">
        <v>1</v>
      </c>
      <c r="BB190">
        <v>1</v>
      </c>
      <c r="BC190">
        <v>6.38</v>
      </c>
      <c r="BH190">
        <v>3</v>
      </c>
      <c r="BI190">
        <v>1</v>
      </c>
      <c r="BM190">
        <v>900005</v>
      </c>
      <c r="BN190">
        <v>0</v>
      </c>
      <c r="BP190">
        <v>0</v>
      </c>
      <c r="BQ190">
        <v>8</v>
      </c>
      <c r="BR190">
        <v>0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Z190">
        <v>0</v>
      </c>
      <c r="CA190">
        <v>0</v>
      </c>
      <c r="CE190">
        <v>0</v>
      </c>
      <c r="CF190">
        <v>0</v>
      </c>
      <c r="CG190">
        <v>0</v>
      </c>
      <c r="CM190">
        <v>0</v>
      </c>
      <c r="CO190">
        <v>0</v>
      </c>
      <c r="CP190">
        <f t="shared" si="174"/>
        <v>1283.53</v>
      </c>
      <c r="CQ190">
        <f t="shared" si="175"/>
        <v>91.6806</v>
      </c>
      <c r="CR190">
        <f t="shared" si="176"/>
        <v>0</v>
      </c>
      <c r="CS190">
        <f t="shared" si="177"/>
        <v>0</v>
      </c>
      <c r="CT190">
        <f t="shared" si="178"/>
        <v>0</v>
      </c>
      <c r="CU190">
        <f t="shared" si="179"/>
        <v>0</v>
      </c>
      <c r="CV190">
        <f t="shared" si="180"/>
        <v>0</v>
      </c>
      <c r="CW190">
        <f t="shared" si="181"/>
        <v>0</v>
      </c>
      <c r="CX190">
        <f t="shared" si="182"/>
        <v>0</v>
      </c>
      <c r="CY190">
        <f t="shared" si="183"/>
        <v>0</v>
      </c>
      <c r="CZ190">
        <f t="shared" si="184"/>
        <v>0</v>
      </c>
      <c r="DN190">
        <v>0</v>
      </c>
      <c r="DO190">
        <v>0</v>
      </c>
      <c r="DP190">
        <v>1</v>
      </c>
      <c r="DQ190">
        <v>1</v>
      </c>
      <c r="DU190">
        <v>1010</v>
      </c>
      <c r="DV190" t="s">
        <v>202</v>
      </c>
      <c r="DW190" t="s">
        <v>202</v>
      </c>
      <c r="DX190">
        <v>1</v>
      </c>
      <c r="EE190">
        <v>48082719</v>
      </c>
      <c r="EF190">
        <v>8</v>
      </c>
      <c r="EG190" t="s">
        <v>151</v>
      </c>
      <c r="EH190">
        <v>0</v>
      </c>
      <c r="EJ190">
        <v>1</v>
      </c>
      <c r="EK190">
        <v>900005</v>
      </c>
      <c r="EL190" t="s">
        <v>260</v>
      </c>
      <c r="EM190" t="s">
        <v>261</v>
      </c>
      <c r="EQ190">
        <v>0</v>
      </c>
      <c r="ER190">
        <v>14.61</v>
      </c>
      <c r="ES190">
        <v>14.37</v>
      </c>
      <c r="ET190">
        <v>0</v>
      </c>
      <c r="EU190">
        <v>0</v>
      </c>
      <c r="EV190">
        <v>0</v>
      </c>
      <c r="EW190">
        <v>0</v>
      </c>
      <c r="EX190">
        <v>0</v>
      </c>
      <c r="EZ190">
        <v>5</v>
      </c>
      <c r="FC190">
        <v>1</v>
      </c>
      <c r="FD190">
        <v>18</v>
      </c>
      <c r="FF190">
        <v>110</v>
      </c>
      <c r="FQ190">
        <v>0</v>
      </c>
      <c r="FR190">
        <f t="shared" si="185"/>
        <v>0</v>
      </c>
      <c r="FS190">
        <v>0</v>
      </c>
      <c r="FX190">
        <v>0</v>
      </c>
      <c r="FY190">
        <v>0</v>
      </c>
      <c r="GA190" t="s">
        <v>321</v>
      </c>
      <c r="GD190">
        <v>1</v>
      </c>
      <c r="GF190">
        <v>439924506</v>
      </c>
      <c r="GG190">
        <v>2</v>
      </c>
      <c r="GH190">
        <v>3</v>
      </c>
      <c r="GI190">
        <v>3</v>
      </c>
      <c r="GJ190">
        <v>0</v>
      </c>
      <c r="GK190">
        <v>0</v>
      </c>
      <c r="GL190">
        <f t="shared" si="186"/>
        <v>0</v>
      </c>
      <c r="GM190">
        <f t="shared" si="187"/>
        <v>1283.53</v>
      </c>
      <c r="GN190">
        <f t="shared" si="188"/>
        <v>1283.53</v>
      </c>
      <c r="GO190">
        <f t="shared" si="189"/>
        <v>0</v>
      </c>
      <c r="GP190">
        <f t="shared" si="190"/>
        <v>0</v>
      </c>
      <c r="GR190">
        <v>2</v>
      </c>
      <c r="GS190">
        <v>1</v>
      </c>
      <c r="GT190">
        <v>0</v>
      </c>
      <c r="GV190">
        <f t="shared" si="191"/>
        <v>0</v>
      </c>
      <c r="GW190">
        <v>1</v>
      </c>
      <c r="GX190">
        <f t="shared" si="192"/>
        <v>0</v>
      </c>
      <c r="HA190">
        <v>0</v>
      </c>
      <c r="HB190">
        <v>0</v>
      </c>
      <c r="HC190">
        <f t="shared" si="193"/>
        <v>0</v>
      </c>
      <c r="IK190">
        <v>0</v>
      </c>
    </row>
    <row r="191" spans="1:245" ht="12.75">
      <c r="A191">
        <v>18</v>
      </c>
      <c r="B191">
        <v>1</v>
      </c>
      <c r="C191">
        <v>187</v>
      </c>
      <c r="E191" t="s">
        <v>337</v>
      </c>
      <c r="F191" t="s">
        <v>200</v>
      </c>
      <c r="G191" t="s">
        <v>338</v>
      </c>
      <c r="H191" t="s">
        <v>202</v>
      </c>
      <c r="I191">
        <f>I178*J191</f>
        <v>27</v>
      </c>
      <c r="J191">
        <v>42.857142857142854</v>
      </c>
      <c r="O191">
        <f t="shared" si="159"/>
        <v>3600.23</v>
      </c>
      <c r="P191">
        <f t="shared" si="160"/>
        <v>3600.23</v>
      </c>
      <c r="Q191">
        <f t="shared" si="161"/>
        <v>0</v>
      </c>
      <c r="R191">
        <f t="shared" si="162"/>
        <v>0</v>
      </c>
      <c r="S191">
        <f t="shared" si="163"/>
        <v>0</v>
      </c>
      <c r="T191">
        <f t="shared" si="164"/>
        <v>0</v>
      </c>
      <c r="U191">
        <f t="shared" si="165"/>
        <v>0</v>
      </c>
      <c r="V191">
        <f t="shared" si="166"/>
        <v>0</v>
      </c>
      <c r="W191">
        <f t="shared" si="167"/>
        <v>0</v>
      </c>
      <c r="X191">
        <f t="shared" si="168"/>
        <v>0</v>
      </c>
      <c r="Y191">
        <f t="shared" si="169"/>
        <v>0</v>
      </c>
      <c r="AA191">
        <v>51669678</v>
      </c>
      <c r="AB191">
        <f t="shared" si="170"/>
        <v>20.9</v>
      </c>
      <c r="AC191">
        <f t="shared" si="171"/>
        <v>20.9</v>
      </c>
      <c r="AD191">
        <f t="shared" si="194"/>
        <v>0</v>
      </c>
      <c r="AE191">
        <f t="shared" si="195"/>
        <v>0</v>
      </c>
      <c r="AF191">
        <f t="shared" si="196"/>
        <v>0</v>
      </c>
      <c r="AG191">
        <f t="shared" si="172"/>
        <v>0</v>
      </c>
      <c r="AH191">
        <f t="shared" si="197"/>
        <v>0</v>
      </c>
      <c r="AI191">
        <f t="shared" si="198"/>
        <v>0</v>
      </c>
      <c r="AJ191">
        <f t="shared" si="173"/>
        <v>0</v>
      </c>
      <c r="AK191">
        <v>20.9</v>
      </c>
      <c r="AL191">
        <v>20.9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v>6.38</v>
      </c>
      <c r="BH191">
        <v>3</v>
      </c>
      <c r="BI191">
        <v>1</v>
      </c>
      <c r="BM191">
        <v>900005</v>
      </c>
      <c r="BN191">
        <v>0</v>
      </c>
      <c r="BP191">
        <v>0</v>
      </c>
      <c r="BQ191">
        <v>8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Z191">
        <v>0</v>
      </c>
      <c r="CA191">
        <v>0</v>
      </c>
      <c r="CE191">
        <v>0</v>
      </c>
      <c r="CF191">
        <v>0</v>
      </c>
      <c r="CG191">
        <v>0</v>
      </c>
      <c r="CM191">
        <v>0</v>
      </c>
      <c r="CO191">
        <v>0</v>
      </c>
      <c r="CP191">
        <f t="shared" si="174"/>
        <v>3600.23</v>
      </c>
      <c r="CQ191">
        <f t="shared" si="175"/>
        <v>133.34199999999998</v>
      </c>
      <c r="CR191">
        <f t="shared" si="176"/>
        <v>0</v>
      </c>
      <c r="CS191">
        <f t="shared" si="177"/>
        <v>0</v>
      </c>
      <c r="CT191">
        <f t="shared" si="178"/>
        <v>0</v>
      </c>
      <c r="CU191">
        <f t="shared" si="179"/>
        <v>0</v>
      </c>
      <c r="CV191">
        <f t="shared" si="180"/>
        <v>0</v>
      </c>
      <c r="CW191">
        <f t="shared" si="181"/>
        <v>0</v>
      </c>
      <c r="CX191">
        <f t="shared" si="182"/>
        <v>0</v>
      </c>
      <c r="CY191">
        <f t="shared" si="183"/>
        <v>0</v>
      </c>
      <c r="CZ191">
        <f t="shared" si="184"/>
        <v>0</v>
      </c>
      <c r="DN191">
        <v>0</v>
      </c>
      <c r="DO191">
        <v>0</v>
      </c>
      <c r="DP191">
        <v>1</v>
      </c>
      <c r="DQ191">
        <v>1</v>
      </c>
      <c r="DU191">
        <v>1010</v>
      </c>
      <c r="DV191" t="s">
        <v>202</v>
      </c>
      <c r="DW191" t="s">
        <v>202</v>
      </c>
      <c r="DX191">
        <v>1</v>
      </c>
      <c r="EE191">
        <v>48082719</v>
      </c>
      <c r="EF191">
        <v>8</v>
      </c>
      <c r="EG191" t="s">
        <v>151</v>
      </c>
      <c r="EH191">
        <v>0</v>
      </c>
      <c r="EJ191">
        <v>1</v>
      </c>
      <c r="EK191">
        <v>900005</v>
      </c>
      <c r="EL191" t="s">
        <v>260</v>
      </c>
      <c r="EM191" t="s">
        <v>261</v>
      </c>
      <c r="EQ191">
        <v>0</v>
      </c>
      <c r="ER191">
        <v>0</v>
      </c>
      <c r="ES191">
        <v>20.9</v>
      </c>
      <c r="ET191">
        <v>0</v>
      </c>
      <c r="EU191">
        <v>0</v>
      </c>
      <c r="EV191">
        <v>0</v>
      </c>
      <c r="EW191">
        <v>0</v>
      </c>
      <c r="EX191">
        <v>0</v>
      </c>
      <c r="EZ191">
        <v>5</v>
      </c>
      <c r="FC191">
        <v>1</v>
      </c>
      <c r="FD191">
        <v>18</v>
      </c>
      <c r="FF191">
        <v>160</v>
      </c>
      <c r="FQ191">
        <v>0</v>
      </c>
      <c r="FR191">
        <f t="shared" si="185"/>
        <v>0</v>
      </c>
      <c r="FS191">
        <v>0</v>
      </c>
      <c r="FX191">
        <v>0</v>
      </c>
      <c r="FY191">
        <v>0</v>
      </c>
      <c r="GA191" t="s">
        <v>332</v>
      </c>
      <c r="GD191">
        <v>1</v>
      </c>
      <c r="GF191">
        <v>-620046031</v>
      </c>
      <c r="GG191">
        <v>2</v>
      </c>
      <c r="GH191">
        <v>3</v>
      </c>
      <c r="GI191">
        <v>3</v>
      </c>
      <c r="GJ191">
        <v>0</v>
      </c>
      <c r="GK191">
        <v>0</v>
      </c>
      <c r="GL191">
        <f t="shared" si="186"/>
        <v>0</v>
      </c>
      <c r="GM191">
        <f t="shared" si="187"/>
        <v>3600.23</v>
      </c>
      <c r="GN191">
        <f t="shared" si="188"/>
        <v>3600.23</v>
      </c>
      <c r="GO191">
        <f t="shared" si="189"/>
        <v>0</v>
      </c>
      <c r="GP191">
        <f t="shared" si="190"/>
        <v>0</v>
      </c>
      <c r="GR191">
        <v>2</v>
      </c>
      <c r="GS191">
        <v>1</v>
      </c>
      <c r="GT191">
        <v>0</v>
      </c>
      <c r="GV191">
        <f t="shared" si="191"/>
        <v>0</v>
      </c>
      <c r="GW191">
        <v>1</v>
      </c>
      <c r="GX191">
        <f t="shared" si="192"/>
        <v>0</v>
      </c>
      <c r="HA191">
        <v>0</v>
      </c>
      <c r="HB191">
        <v>0</v>
      </c>
      <c r="HC191">
        <f t="shared" si="193"/>
        <v>0</v>
      </c>
      <c r="IK191">
        <v>0</v>
      </c>
    </row>
    <row r="192" spans="1:245" ht="12.75">
      <c r="A192">
        <v>18</v>
      </c>
      <c r="B192">
        <v>1</v>
      </c>
      <c r="C192">
        <v>188</v>
      </c>
      <c r="E192" t="s">
        <v>339</v>
      </c>
      <c r="F192" t="s">
        <v>200</v>
      </c>
      <c r="G192" t="s">
        <v>340</v>
      </c>
      <c r="H192" t="s">
        <v>202</v>
      </c>
      <c r="I192">
        <f>I178*J192</f>
        <v>4</v>
      </c>
      <c r="J192">
        <v>6.349206349206349</v>
      </c>
      <c r="O192">
        <f t="shared" si="159"/>
        <v>999.87</v>
      </c>
      <c r="P192">
        <f t="shared" si="160"/>
        <v>999.87</v>
      </c>
      <c r="Q192">
        <f t="shared" si="161"/>
        <v>0</v>
      </c>
      <c r="R192">
        <f t="shared" si="162"/>
        <v>0</v>
      </c>
      <c r="S192">
        <f t="shared" si="163"/>
        <v>0</v>
      </c>
      <c r="T192">
        <f t="shared" si="164"/>
        <v>0</v>
      </c>
      <c r="U192">
        <f t="shared" si="165"/>
        <v>0</v>
      </c>
      <c r="V192">
        <f t="shared" si="166"/>
        <v>0</v>
      </c>
      <c r="W192">
        <f t="shared" si="167"/>
        <v>0</v>
      </c>
      <c r="X192">
        <f t="shared" si="168"/>
        <v>0</v>
      </c>
      <c r="Y192">
        <f t="shared" si="169"/>
        <v>0</v>
      </c>
      <c r="AA192">
        <v>51669678</v>
      </c>
      <c r="AB192">
        <f t="shared" si="170"/>
        <v>39.18</v>
      </c>
      <c r="AC192">
        <f t="shared" si="171"/>
        <v>39.18</v>
      </c>
      <c r="AD192">
        <f t="shared" si="194"/>
        <v>0</v>
      </c>
      <c r="AE192">
        <f t="shared" si="195"/>
        <v>0</v>
      </c>
      <c r="AF192">
        <f t="shared" si="196"/>
        <v>0</v>
      </c>
      <c r="AG192">
        <f t="shared" si="172"/>
        <v>0</v>
      </c>
      <c r="AH192">
        <f t="shared" si="197"/>
        <v>0</v>
      </c>
      <c r="AI192">
        <f t="shared" si="198"/>
        <v>0</v>
      </c>
      <c r="AJ192">
        <f t="shared" si="173"/>
        <v>0</v>
      </c>
      <c r="AK192">
        <v>39.18</v>
      </c>
      <c r="AL192">
        <v>39.18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1</v>
      </c>
      <c r="AZ192">
        <v>1</v>
      </c>
      <c r="BA192">
        <v>1</v>
      </c>
      <c r="BB192">
        <v>1</v>
      </c>
      <c r="BC192">
        <v>6.38</v>
      </c>
      <c r="BH192">
        <v>3</v>
      </c>
      <c r="BI192">
        <v>1</v>
      </c>
      <c r="BM192">
        <v>900005</v>
      </c>
      <c r="BN192">
        <v>0</v>
      </c>
      <c r="BP192">
        <v>0</v>
      </c>
      <c r="BQ192">
        <v>8</v>
      </c>
      <c r="BR192">
        <v>0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Z192">
        <v>0</v>
      </c>
      <c r="CA192">
        <v>0</v>
      </c>
      <c r="CE192">
        <v>0</v>
      </c>
      <c r="CF192">
        <v>0</v>
      </c>
      <c r="CG192">
        <v>0</v>
      </c>
      <c r="CM192">
        <v>0</v>
      </c>
      <c r="CO192">
        <v>0</v>
      </c>
      <c r="CP192">
        <f t="shared" si="174"/>
        <v>999.87</v>
      </c>
      <c r="CQ192">
        <f t="shared" si="175"/>
        <v>249.9684</v>
      </c>
      <c r="CR192">
        <f t="shared" si="176"/>
        <v>0</v>
      </c>
      <c r="CS192">
        <f t="shared" si="177"/>
        <v>0</v>
      </c>
      <c r="CT192">
        <f t="shared" si="178"/>
        <v>0</v>
      </c>
      <c r="CU192">
        <f t="shared" si="179"/>
        <v>0</v>
      </c>
      <c r="CV192">
        <f t="shared" si="180"/>
        <v>0</v>
      </c>
      <c r="CW192">
        <f t="shared" si="181"/>
        <v>0</v>
      </c>
      <c r="CX192">
        <f t="shared" si="182"/>
        <v>0</v>
      </c>
      <c r="CY192">
        <f t="shared" si="183"/>
        <v>0</v>
      </c>
      <c r="CZ192">
        <f t="shared" si="184"/>
        <v>0</v>
      </c>
      <c r="DN192">
        <v>0</v>
      </c>
      <c r="DO192">
        <v>0</v>
      </c>
      <c r="DP192">
        <v>1</v>
      </c>
      <c r="DQ192">
        <v>1</v>
      </c>
      <c r="DU192">
        <v>1010</v>
      </c>
      <c r="DV192" t="s">
        <v>202</v>
      </c>
      <c r="DW192" t="s">
        <v>202</v>
      </c>
      <c r="DX192">
        <v>1</v>
      </c>
      <c r="EE192">
        <v>48082719</v>
      </c>
      <c r="EF192">
        <v>8</v>
      </c>
      <c r="EG192" t="s">
        <v>151</v>
      </c>
      <c r="EH192">
        <v>0</v>
      </c>
      <c r="EJ192">
        <v>1</v>
      </c>
      <c r="EK192">
        <v>900005</v>
      </c>
      <c r="EL192" t="s">
        <v>260</v>
      </c>
      <c r="EM192" t="s">
        <v>261</v>
      </c>
      <c r="EQ192">
        <v>0</v>
      </c>
      <c r="ER192">
        <v>39.18</v>
      </c>
      <c r="ES192">
        <v>39.18</v>
      </c>
      <c r="ET192">
        <v>0</v>
      </c>
      <c r="EU192">
        <v>0</v>
      </c>
      <c r="EV192">
        <v>0</v>
      </c>
      <c r="EW192">
        <v>0</v>
      </c>
      <c r="EX192">
        <v>0</v>
      </c>
      <c r="EZ192">
        <v>5</v>
      </c>
      <c r="FC192">
        <v>1</v>
      </c>
      <c r="FD192">
        <v>18</v>
      </c>
      <c r="FF192">
        <v>300</v>
      </c>
      <c r="FQ192">
        <v>0</v>
      </c>
      <c r="FR192">
        <f t="shared" si="185"/>
        <v>0</v>
      </c>
      <c r="FS192">
        <v>0</v>
      </c>
      <c r="FX192">
        <v>0</v>
      </c>
      <c r="FY192">
        <v>0</v>
      </c>
      <c r="GA192" t="s">
        <v>341</v>
      </c>
      <c r="GD192">
        <v>1</v>
      </c>
      <c r="GF192">
        <v>751302136</v>
      </c>
      <c r="GG192">
        <v>2</v>
      </c>
      <c r="GH192">
        <v>3</v>
      </c>
      <c r="GI192">
        <v>3</v>
      </c>
      <c r="GJ192">
        <v>0</v>
      </c>
      <c r="GK192">
        <v>0</v>
      </c>
      <c r="GL192">
        <f t="shared" si="186"/>
        <v>0</v>
      </c>
      <c r="GM192">
        <f t="shared" si="187"/>
        <v>999.87</v>
      </c>
      <c r="GN192">
        <f t="shared" si="188"/>
        <v>999.87</v>
      </c>
      <c r="GO192">
        <f t="shared" si="189"/>
        <v>0</v>
      </c>
      <c r="GP192">
        <f t="shared" si="190"/>
        <v>0</v>
      </c>
      <c r="GR192">
        <v>1</v>
      </c>
      <c r="GS192">
        <v>1</v>
      </c>
      <c r="GT192">
        <v>0</v>
      </c>
      <c r="GV192">
        <f t="shared" si="191"/>
        <v>0</v>
      </c>
      <c r="GW192">
        <v>1</v>
      </c>
      <c r="GX192">
        <f t="shared" si="192"/>
        <v>0</v>
      </c>
      <c r="HA192">
        <v>0</v>
      </c>
      <c r="HB192">
        <v>0</v>
      </c>
      <c r="HC192">
        <f t="shared" si="193"/>
        <v>0</v>
      </c>
      <c r="IK192">
        <v>0</v>
      </c>
    </row>
    <row r="193" spans="1:245" ht="12.75">
      <c r="A193">
        <v>18</v>
      </c>
      <c r="B193">
        <v>1</v>
      </c>
      <c r="C193">
        <v>174</v>
      </c>
      <c r="E193" t="s">
        <v>342</v>
      </c>
      <c r="F193" t="s">
        <v>343</v>
      </c>
      <c r="G193" t="s">
        <v>344</v>
      </c>
      <c r="H193" t="s">
        <v>37</v>
      </c>
      <c r="I193">
        <f>I178*J193</f>
        <v>-0.28476</v>
      </c>
      <c r="J193">
        <v>-0.452</v>
      </c>
      <c r="O193">
        <f t="shared" si="159"/>
        <v>-15407.77</v>
      </c>
      <c r="P193">
        <f t="shared" si="160"/>
        <v>-15407.77</v>
      </c>
      <c r="Q193">
        <f t="shared" si="161"/>
        <v>0</v>
      </c>
      <c r="R193">
        <f t="shared" si="162"/>
        <v>0</v>
      </c>
      <c r="S193">
        <f t="shared" si="163"/>
        <v>0</v>
      </c>
      <c r="T193">
        <f t="shared" si="164"/>
        <v>0</v>
      </c>
      <c r="U193">
        <f t="shared" si="165"/>
        <v>0</v>
      </c>
      <c r="V193">
        <f t="shared" si="166"/>
        <v>0</v>
      </c>
      <c r="W193">
        <f t="shared" si="167"/>
        <v>0</v>
      </c>
      <c r="X193">
        <f t="shared" si="168"/>
        <v>0</v>
      </c>
      <c r="Y193">
        <f t="shared" si="169"/>
        <v>0</v>
      </c>
      <c r="AA193">
        <v>51669678</v>
      </c>
      <c r="AB193">
        <f t="shared" si="170"/>
        <v>9696.76</v>
      </c>
      <c r="AC193">
        <f t="shared" si="171"/>
        <v>9696.76</v>
      </c>
      <c r="AD193">
        <f t="shared" si="194"/>
        <v>0</v>
      </c>
      <c r="AE193">
        <f t="shared" si="195"/>
        <v>0</v>
      </c>
      <c r="AF193">
        <f t="shared" si="196"/>
        <v>0</v>
      </c>
      <c r="AG193">
        <f t="shared" si="172"/>
        <v>0</v>
      </c>
      <c r="AH193">
        <f t="shared" si="197"/>
        <v>0</v>
      </c>
      <c r="AI193">
        <f t="shared" si="198"/>
        <v>0</v>
      </c>
      <c r="AJ193">
        <f t="shared" si="173"/>
        <v>0</v>
      </c>
      <c r="AK193">
        <v>9696.76</v>
      </c>
      <c r="AL193">
        <v>9696.76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v>5.58</v>
      </c>
      <c r="BH193">
        <v>3</v>
      </c>
      <c r="BI193">
        <v>1</v>
      </c>
      <c r="BJ193" t="s">
        <v>345</v>
      </c>
      <c r="BM193">
        <v>500001</v>
      </c>
      <c r="BN193">
        <v>0</v>
      </c>
      <c r="BO193" t="s">
        <v>343</v>
      </c>
      <c r="BP193">
        <v>1</v>
      </c>
      <c r="BQ193">
        <v>8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Z193">
        <v>0</v>
      </c>
      <c r="CA193">
        <v>0</v>
      </c>
      <c r="CE193">
        <v>0</v>
      </c>
      <c r="CF193">
        <v>0</v>
      </c>
      <c r="CG193">
        <v>0</v>
      </c>
      <c r="CM193">
        <v>0</v>
      </c>
      <c r="CO193">
        <v>0</v>
      </c>
      <c r="CP193">
        <f t="shared" si="174"/>
        <v>-15407.77</v>
      </c>
      <c r="CQ193">
        <f t="shared" si="175"/>
        <v>54107.9208</v>
      </c>
      <c r="CR193">
        <f t="shared" si="176"/>
        <v>0</v>
      </c>
      <c r="CS193">
        <f t="shared" si="177"/>
        <v>0</v>
      </c>
      <c r="CT193">
        <f t="shared" si="178"/>
        <v>0</v>
      </c>
      <c r="CU193">
        <f t="shared" si="179"/>
        <v>0</v>
      </c>
      <c r="CV193">
        <f t="shared" si="180"/>
        <v>0</v>
      </c>
      <c r="CW193">
        <f t="shared" si="181"/>
        <v>0</v>
      </c>
      <c r="CX193">
        <f t="shared" si="182"/>
        <v>0</v>
      </c>
      <c r="CY193">
        <f t="shared" si="183"/>
        <v>0</v>
      </c>
      <c r="CZ193">
        <f t="shared" si="184"/>
        <v>0</v>
      </c>
      <c r="DN193">
        <v>0</v>
      </c>
      <c r="DO193">
        <v>0</v>
      </c>
      <c r="DP193">
        <v>1</v>
      </c>
      <c r="DQ193">
        <v>1</v>
      </c>
      <c r="DU193">
        <v>1009</v>
      </c>
      <c r="DV193" t="s">
        <v>37</v>
      </c>
      <c r="DW193" t="s">
        <v>37</v>
      </c>
      <c r="DX193">
        <v>1000</v>
      </c>
      <c r="EE193">
        <v>48034321</v>
      </c>
      <c r="EF193">
        <v>8</v>
      </c>
      <c r="EG193" t="s">
        <v>151</v>
      </c>
      <c r="EH193">
        <v>0</v>
      </c>
      <c r="EJ193">
        <v>1</v>
      </c>
      <c r="EK193">
        <v>500001</v>
      </c>
      <c r="EL193" t="s">
        <v>152</v>
      </c>
      <c r="EM193" t="s">
        <v>153</v>
      </c>
      <c r="EQ193">
        <v>512</v>
      </c>
      <c r="ER193">
        <v>9696.76</v>
      </c>
      <c r="ES193">
        <v>9696.76</v>
      </c>
      <c r="ET193">
        <v>0</v>
      </c>
      <c r="EU193">
        <v>0</v>
      </c>
      <c r="EV193">
        <v>0</v>
      </c>
      <c r="EW193">
        <v>0</v>
      </c>
      <c r="EX193">
        <v>0</v>
      </c>
      <c r="FQ193">
        <v>0</v>
      </c>
      <c r="FR193">
        <f t="shared" si="185"/>
        <v>0</v>
      </c>
      <c r="FS193">
        <v>0</v>
      </c>
      <c r="FX193">
        <v>0</v>
      </c>
      <c r="FY193">
        <v>0</v>
      </c>
      <c r="GD193">
        <v>1</v>
      </c>
      <c r="GF193">
        <v>2049988724</v>
      </c>
      <c r="GG193">
        <v>2</v>
      </c>
      <c r="GH193">
        <v>1</v>
      </c>
      <c r="GI193">
        <v>2</v>
      </c>
      <c r="GJ193">
        <v>0</v>
      </c>
      <c r="GK193">
        <v>0</v>
      </c>
      <c r="GL193">
        <f t="shared" si="186"/>
        <v>0</v>
      </c>
      <c r="GM193">
        <f t="shared" si="187"/>
        <v>-15407.77</v>
      </c>
      <c r="GN193">
        <f t="shared" si="188"/>
        <v>-15407.77</v>
      </c>
      <c r="GO193">
        <f t="shared" si="189"/>
        <v>0</v>
      </c>
      <c r="GP193">
        <f t="shared" si="190"/>
        <v>0</v>
      </c>
      <c r="GR193">
        <v>0</v>
      </c>
      <c r="GS193">
        <v>3</v>
      </c>
      <c r="GT193">
        <v>0</v>
      </c>
      <c r="GV193">
        <f t="shared" si="191"/>
        <v>0</v>
      </c>
      <c r="GW193">
        <v>1</v>
      </c>
      <c r="GX193">
        <f t="shared" si="192"/>
        <v>0</v>
      </c>
      <c r="HA193">
        <v>0</v>
      </c>
      <c r="HB193">
        <v>0</v>
      </c>
      <c r="HC193">
        <f t="shared" si="193"/>
        <v>0</v>
      </c>
      <c r="IK193">
        <v>0</v>
      </c>
    </row>
    <row r="194" spans="1:245" ht="12.75">
      <c r="A194">
        <v>17</v>
      </c>
      <c r="B194">
        <v>1</v>
      </c>
      <c r="C194">
        <f>ROW(SmtRes!A198)</f>
        <v>198</v>
      </c>
      <c r="D194">
        <f>ROW(EtalonRes!A174)</f>
        <v>174</v>
      </c>
      <c r="E194" t="s">
        <v>346</v>
      </c>
      <c r="F194" t="s">
        <v>347</v>
      </c>
      <c r="G194" t="s">
        <v>348</v>
      </c>
      <c r="H194" t="s">
        <v>349</v>
      </c>
      <c r="I194">
        <v>6</v>
      </c>
      <c r="J194">
        <v>0</v>
      </c>
      <c r="O194">
        <f t="shared" si="159"/>
        <v>15007.18</v>
      </c>
      <c r="P194">
        <f t="shared" si="160"/>
        <v>9344.15</v>
      </c>
      <c r="Q194">
        <f t="shared" si="161"/>
        <v>1053.72</v>
      </c>
      <c r="R194">
        <f t="shared" si="162"/>
        <v>22.98</v>
      </c>
      <c r="S194">
        <f t="shared" si="163"/>
        <v>4609.31</v>
      </c>
      <c r="T194">
        <f t="shared" si="164"/>
        <v>0</v>
      </c>
      <c r="U194">
        <f t="shared" si="165"/>
        <v>25.357499999999995</v>
      </c>
      <c r="V194">
        <f t="shared" si="166"/>
        <v>0.09375</v>
      </c>
      <c r="W194">
        <f t="shared" si="167"/>
        <v>0</v>
      </c>
      <c r="X194">
        <f t="shared" si="168"/>
        <v>5327.13</v>
      </c>
      <c r="Y194">
        <f t="shared" si="169"/>
        <v>3288.93</v>
      </c>
      <c r="AA194">
        <v>51669678</v>
      </c>
      <c r="AB194">
        <f t="shared" si="170"/>
        <v>413.27</v>
      </c>
      <c r="AC194">
        <f t="shared" si="171"/>
        <v>310.85</v>
      </c>
      <c r="AD194">
        <f>ROUND((((((ET194*1.25)*1.25))-(((EU194*1.25)*1.25)))+AE194),2)</f>
        <v>24.19</v>
      </c>
      <c r="AE194">
        <f>ROUND((((EU194*1.25)*1.25)),2)</f>
        <v>0.39</v>
      </c>
      <c r="AF194">
        <f>ROUND((((EV194*1.15)*1.25)),2)</f>
        <v>78.23</v>
      </c>
      <c r="AG194">
        <f t="shared" si="172"/>
        <v>0</v>
      </c>
      <c r="AH194">
        <f>(((EW194*1.15)*1.25))</f>
        <v>4.226249999999999</v>
      </c>
      <c r="AI194">
        <f>(((EX194*1.25)*1.25))</f>
        <v>0.015625</v>
      </c>
      <c r="AJ194">
        <f t="shared" si="173"/>
        <v>0</v>
      </c>
      <c r="AK194">
        <v>380.75</v>
      </c>
      <c r="AL194">
        <v>310.85</v>
      </c>
      <c r="AM194">
        <v>15.48</v>
      </c>
      <c r="AN194">
        <v>0.25</v>
      </c>
      <c r="AO194">
        <v>54.42</v>
      </c>
      <c r="AP194">
        <v>0</v>
      </c>
      <c r="AQ194">
        <v>2.94</v>
      </c>
      <c r="AR194">
        <v>0.01</v>
      </c>
      <c r="AS194">
        <v>0</v>
      </c>
      <c r="AT194">
        <v>115</v>
      </c>
      <c r="AU194">
        <v>71</v>
      </c>
      <c r="AV194">
        <v>1</v>
      </c>
      <c r="AW194">
        <v>1</v>
      </c>
      <c r="AZ194">
        <v>1</v>
      </c>
      <c r="BA194">
        <v>9.82</v>
      </c>
      <c r="BB194">
        <v>7.26</v>
      </c>
      <c r="BC194">
        <v>5.01</v>
      </c>
      <c r="BH194">
        <v>0</v>
      </c>
      <c r="BI194">
        <v>1</v>
      </c>
      <c r="BJ194" t="s">
        <v>350</v>
      </c>
      <c r="BM194">
        <v>16001</v>
      </c>
      <c r="BN194">
        <v>0</v>
      </c>
      <c r="BO194" t="s">
        <v>347</v>
      </c>
      <c r="BP194">
        <v>1</v>
      </c>
      <c r="BQ194">
        <v>2</v>
      </c>
      <c r="BR194">
        <v>0</v>
      </c>
      <c r="BS194">
        <v>9.82</v>
      </c>
      <c r="BT194">
        <v>1</v>
      </c>
      <c r="BU194">
        <v>1</v>
      </c>
      <c r="BV194">
        <v>1</v>
      </c>
      <c r="BW194">
        <v>1</v>
      </c>
      <c r="BX194">
        <v>1</v>
      </c>
      <c r="BZ194">
        <v>128</v>
      </c>
      <c r="CA194">
        <v>83</v>
      </c>
      <c r="CE194">
        <v>0</v>
      </c>
      <c r="CF194">
        <v>0</v>
      </c>
      <c r="CG194">
        <v>0</v>
      </c>
      <c r="CM194">
        <v>0</v>
      </c>
      <c r="CN194" t="s">
        <v>721</v>
      </c>
      <c r="CO194">
        <v>0</v>
      </c>
      <c r="CP194">
        <f t="shared" si="174"/>
        <v>15007.18</v>
      </c>
      <c r="CQ194">
        <f t="shared" si="175"/>
        <v>1557.3585</v>
      </c>
      <c r="CR194">
        <f t="shared" si="176"/>
        <v>175.6194</v>
      </c>
      <c r="CS194">
        <f t="shared" si="177"/>
        <v>3.8298</v>
      </c>
      <c r="CT194">
        <f t="shared" si="178"/>
        <v>768.2186</v>
      </c>
      <c r="CU194">
        <f t="shared" si="179"/>
        <v>0</v>
      </c>
      <c r="CV194">
        <f t="shared" si="180"/>
        <v>4.226249999999999</v>
      </c>
      <c r="CW194">
        <f t="shared" si="181"/>
        <v>0.015625</v>
      </c>
      <c r="CX194">
        <f t="shared" si="182"/>
        <v>0</v>
      </c>
      <c r="CY194">
        <f t="shared" si="183"/>
        <v>5327.1335</v>
      </c>
      <c r="CZ194">
        <f t="shared" si="184"/>
        <v>3288.9259</v>
      </c>
      <c r="DE194" t="s">
        <v>139</v>
      </c>
      <c r="DF194" t="s">
        <v>139</v>
      </c>
      <c r="DG194" t="s">
        <v>140</v>
      </c>
      <c r="DI194" t="s">
        <v>140</v>
      </c>
      <c r="DJ194" t="s">
        <v>139</v>
      </c>
      <c r="DN194">
        <v>0</v>
      </c>
      <c r="DO194">
        <v>0</v>
      </c>
      <c r="DP194">
        <v>1</v>
      </c>
      <c r="DQ194">
        <v>1</v>
      </c>
      <c r="DU194">
        <v>1013</v>
      </c>
      <c r="DV194" t="s">
        <v>349</v>
      </c>
      <c r="DW194" t="s">
        <v>349</v>
      </c>
      <c r="DX194">
        <v>1</v>
      </c>
      <c r="EE194">
        <v>48034415</v>
      </c>
      <c r="EF194">
        <v>2</v>
      </c>
      <c r="EG194" t="s">
        <v>20</v>
      </c>
      <c r="EH194">
        <v>0</v>
      </c>
      <c r="EJ194">
        <v>1</v>
      </c>
      <c r="EK194">
        <v>16001</v>
      </c>
      <c r="EL194" t="s">
        <v>219</v>
      </c>
      <c r="EM194" t="s">
        <v>220</v>
      </c>
      <c r="EO194" t="s">
        <v>143</v>
      </c>
      <c r="EQ194">
        <v>131584</v>
      </c>
      <c r="ER194">
        <v>380.75</v>
      </c>
      <c r="ES194">
        <v>310.85</v>
      </c>
      <c r="ET194">
        <v>15.48</v>
      </c>
      <c r="EU194">
        <v>0.25</v>
      </c>
      <c r="EV194">
        <v>54.42</v>
      </c>
      <c r="EW194">
        <v>2.94</v>
      </c>
      <c r="EX194">
        <v>0.01</v>
      </c>
      <c r="EY194">
        <v>0</v>
      </c>
      <c r="FQ194">
        <v>0</v>
      </c>
      <c r="FR194">
        <f t="shared" si="185"/>
        <v>0</v>
      </c>
      <c r="FS194">
        <v>0</v>
      </c>
      <c r="FT194" t="s">
        <v>24</v>
      </c>
      <c r="FU194" t="s">
        <v>25</v>
      </c>
      <c r="FX194">
        <v>115.2</v>
      </c>
      <c r="FY194">
        <v>70.55</v>
      </c>
      <c r="GD194">
        <v>1</v>
      </c>
      <c r="GF194">
        <v>-1502477607</v>
      </c>
      <c r="GG194">
        <v>2</v>
      </c>
      <c r="GH194">
        <v>1</v>
      </c>
      <c r="GI194">
        <v>2</v>
      </c>
      <c r="GJ194">
        <v>0</v>
      </c>
      <c r="GK194">
        <v>0</v>
      </c>
      <c r="GL194">
        <f t="shared" si="186"/>
        <v>0</v>
      </c>
      <c r="GM194">
        <f t="shared" si="187"/>
        <v>23623.24</v>
      </c>
      <c r="GN194">
        <f t="shared" si="188"/>
        <v>23623.24</v>
      </c>
      <c r="GO194">
        <f t="shared" si="189"/>
        <v>0</v>
      </c>
      <c r="GP194">
        <f t="shared" si="190"/>
        <v>0</v>
      </c>
      <c r="GR194">
        <v>0</v>
      </c>
      <c r="GS194">
        <v>3</v>
      </c>
      <c r="GT194">
        <v>0</v>
      </c>
      <c r="GV194">
        <f t="shared" si="191"/>
        <v>0</v>
      </c>
      <c r="GW194">
        <v>1</v>
      </c>
      <c r="GX194">
        <f t="shared" si="192"/>
        <v>0</v>
      </c>
      <c r="HA194">
        <v>0</v>
      </c>
      <c r="HB194">
        <v>0</v>
      </c>
      <c r="HC194">
        <f t="shared" si="193"/>
        <v>0</v>
      </c>
      <c r="IK194">
        <v>0</v>
      </c>
    </row>
    <row r="195" spans="1:245" ht="12.75">
      <c r="A195">
        <v>18</v>
      </c>
      <c r="B195">
        <v>1</v>
      </c>
      <c r="C195">
        <v>198</v>
      </c>
      <c r="E195" t="s">
        <v>351</v>
      </c>
      <c r="F195" t="s">
        <v>200</v>
      </c>
      <c r="G195" t="s">
        <v>352</v>
      </c>
      <c r="H195" t="s">
        <v>202</v>
      </c>
      <c r="I195">
        <f>I194*J195</f>
        <v>6</v>
      </c>
      <c r="J195">
        <v>1</v>
      </c>
      <c r="O195">
        <f t="shared" si="159"/>
        <v>3325</v>
      </c>
      <c r="P195">
        <f t="shared" si="160"/>
        <v>3325</v>
      </c>
      <c r="Q195">
        <f t="shared" si="161"/>
        <v>0</v>
      </c>
      <c r="R195">
        <f t="shared" si="162"/>
        <v>0</v>
      </c>
      <c r="S195">
        <f t="shared" si="163"/>
        <v>0</v>
      </c>
      <c r="T195">
        <f t="shared" si="164"/>
        <v>0</v>
      </c>
      <c r="U195">
        <f t="shared" si="165"/>
        <v>0</v>
      </c>
      <c r="V195">
        <f t="shared" si="166"/>
        <v>0</v>
      </c>
      <c r="W195">
        <f t="shared" si="167"/>
        <v>0</v>
      </c>
      <c r="X195">
        <f t="shared" si="168"/>
        <v>0</v>
      </c>
      <c r="Y195">
        <f t="shared" si="169"/>
        <v>0</v>
      </c>
      <c r="AA195">
        <v>51669678</v>
      </c>
      <c r="AB195">
        <f t="shared" si="170"/>
        <v>86.86</v>
      </c>
      <c r="AC195">
        <f t="shared" si="171"/>
        <v>86.86</v>
      </c>
      <c r="AD195">
        <f>ROUND((((ET195)-(EU195))+AE195),2)</f>
        <v>0</v>
      </c>
      <c r="AE195">
        <f>ROUND((EU195),2)</f>
        <v>0</v>
      </c>
      <c r="AF195">
        <f>ROUND((EV195),2)</f>
        <v>0</v>
      </c>
      <c r="AG195">
        <f t="shared" si="172"/>
        <v>0</v>
      </c>
      <c r="AH195">
        <f>(EW195)</f>
        <v>0</v>
      </c>
      <c r="AI195">
        <f>(EX195)</f>
        <v>0</v>
      </c>
      <c r="AJ195">
        <f t="shared" si="173"/>
        <v>0</v>
      </c>
      <c r="AK195">
        <v>86.86</v>
      </c>
      <c r="AL195">
        <v>86.86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v>6.38</v>
      </c>
      <c r="BH195">
        <v>3</v>
      </c>
      <c r="BI195">
        <v>1</v>
      </c>
      <c r="BM195">
        <v>900005</v>
      </c>
      <c r="BN195">
        <v>0</v>
      </c>
      <c r="BP195">
        <v>0</v>
      </c>
      <c r="BQ195">
        <v>8</v>
      </c>
      <c r="BR195">
        <v>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Z195">
        <v>0</v>
      </c>
      <c r="CA195">
        <v>0</v>
      </c>
      <c r="CE195">
        <v>0</v>
      </c>
      <c r="CF195">
        <v>0</v>
      </c>
      <c r="CG195">
        <v>0</v>
      </c>
      <c r="CM195">
        <v>0</v>
      </c>
      <c r="CO195">
        <v>0</v>
      </c>
      <c r="CP195">
        <f t="shared" si="174"/>
        <v>3325</v>
      </c>
      <c r="CQ195">
        <f t="shared" si="175"/>
        <v>554.1668</v>
      </c>
      <c r="CR195">
        <f t="shared" si="176"/>
        <v>0</v>
      </c>
      <c r="CS195">
        <f t="shared" si="177"/>
        <v>0</v>
      </c>
      <c r="CT195">
        <f t="shared" si="178"/>
        <v>0</v>
      </c>
      <c r="CU195">
        <f t="shared" si="179"/>
        <v>0</v>
      </c>
      <c r="CV195">
        <f t="shared" si="180"/>
        <v>0</v>
      </c>
      <c r="CW195">
        <f t="shared" si="181"/>
        <v>0</v>
      </c>
      <c r="CX195">
        <f t="shared" si="182"/>
        <v>0</v>
      </c>
      <c r="CY195">
        <f t="shared" si="183"/>
        <v>0</v>
      </c>
      <c r="CZ195">
        <f t="shared" si="184"/>
        <v>0</v>
      </c>
      <c r="DN195">
        <v>0</v>
      </c>
      <c r="DO195">
        <v>0</v>
      </c>
      <c r="DP195">
        <v>1</v>
      </c>
      <c r="DQ195">
        <v>1</v>
      </c>
      <c r="DU195">
        <v>1010</v>
      </c>
      <c r="DV195" t="s">
        <v>202</v>
      </c>
      <c r="DW195" t="s">
        <v>202</v>
      </c>
      <c r="DX195">
        <v>1</v>
      </c>
      <c r="EE195">
        <v>48082719</v>
      </c>
      <c r="EF195">
        <v>8</v>
      </c>
      <c r="EG195" t="s">
        <v>151</v>
      </c>
      <c r="EH195">
        <v>0</v>
      </c>
      <c r="EJ195">
        <v>1</v>
      </c>
      <c r="EK195">
        <v>900005</v>
      </c>
      <c r="EL195" t="s">
        <v>260</v>
      </c>
      <c r="EM195" t="s">
        <v>261</v>
      </c>
      <c r="EQ195">
        <v>0</v>
      </c>
      <c r="ER195">
        <v>86.86</v>
      </c>
      <c r="ES195">
        <v>86.86</v>
      </c>
      <c r="ET195">
        <v>0</v>
      </c>
      <c r="EU195">
        <v>0</v>
      </c>
      <c r="EV195">
        <v>0</v>
      </c>
      <c r="EW195">
        <v>0</v>
      </c>
      <c r="EX195">
        <v>0</v>
      </c>
      <c r="EZ195">
        <v>5</v>
      </c>
      <c r="FC195">
        <v>1</v>
      </c>
      <c r="FD195">
        <v>18</v>
      </c>
      <c r="FF195">
        <v>665</v>
      </c>
      <c r="FQ195">
        <v>0</v>
      </c>
      <c r="FR195">
        <f t="shared" si="185"/>
        <v>0</v>
      </c>
      <c r="FS195">
        <v>0</v>
      </c>
      <c r="FX195">
        <v>0</v>
      </c>
      <c r="FY195">
        <v>0</v>
      </c>
      <c r="GA195" t="s">
        <v>353</v>
      </c>
      <c r="GD195">
        <v>1</v>
      </c>
      <c r="GF195">
        <v>391551382</v>
      </c>
      <c r="GG195">
        <v>2</v>
      </c>
      <c r="GH195">
        <v>3</v>
      </c>
      <c r="GI195">
        <v>3</v>
      </c>
      <c r="GJ195">
        <v>0</v>
      </c>
      <c r="GK195">
        <v>0</v>
      </c>
      <c r="GL195">
        <f t="shared" si="186"/>
        <v>0</v>
      </c>
      <c r="GM195">
        <f t="shared" si="187"/>
        <v>3325</v>
      </c>
      <c r="GN195">
        <f t="shared" si="188"/>
        <v>3325</v>
      </c>
      <c r="GO195">
        <f t="shared" si="189"/>
        <v>0</v>
      </c>
      <c r="GP195">
        <f t="shared" si="190"/>
        <v>0</v>
      </c>
      <c r="GR195">
        <v>2</v>
      </c>
      <c r="GS195">
        <v>1</v>
      </c>
      <c r="GT195">
        <v>0</v>
      </c>
      <c r="GV195">
        <f t="shared" si="191"/>
        <v>0</v>
      </c>
      <c r="GW195">
        <v>1</v>
      </c>
      <c r="GX195">
        <f t="shared" si="192"/>
        <v>0</v>
      </c>
      <c r="HA195">
        <v>0</v>
      </c>
      <c r="HB195">
        <v>0</v>
      </c>
      <c r="HC195">
        <f t="shared" si="193"/>
        <v>0</v>
      </c>
      <c r="IK195">
        <v>0</v>
      </c>
    </row>
    <row r="196" spans="1:245" ht="12.75">
      <c r="A196">
        <v>18</v>
      </c>
      <c r="B196">
        <v>1</v>
      </c>
      <c r="C196">
        <v>197</v>
      </c>
      <c r="E196" t="s">
        <v>354</v>
      </c>
      <c r="F196" t="s">
        <v>355</v>
      </c>
      <c r="G196" t="s">
        <v>356</v>
      </c>
      <c r="H196" t="s">
        <v>202</v>
      </c>
      <c r="I196">
        <f>I194*J196</f>
        <v>-6</v>
      </c>
      <c r="J196">
        <v>-1</v>
      </c>
      <c r="O196">
        <f t="shared" si="159"/>
        <v>-9139.83</v>
      </c>
      <c r="P196">
        <f t="shared" si="160"/>
        <v>-9139.83</v>
      </c>
      <c r="Q196">
        <f t="shared" si="161"/>
        <v>0</v>
      </c>
      <c r="R196">
        <f t="shared" si="162"/>
        <v>0</v>
      </c>
      <c r="S196">
        <f t="shared" si="163"/>
        <v>0</v>
      </c>
      <c r="T196">
        <f t="shared" si="164"/>
        <v>0</v>
      </c>
      <c r="U196">
        <f t="shared" si="165"/>
        <v>0</v>
      </c>
      <c r="V196">
        <f t="shared" si="166"/>
        <v>0</v>
      </c>
      <c r="W196">
        <f t="shared" si="167"/>
        <v>0</v>
      </c>
      <c r="X196">
        <f t="shared" si="168"/>
        <v>0</v>
      </c>
      <c r="Y196">
        <f t="shared" si="169"/>
        <v>0</v>
      </c>
      <c r="AA196">
        <v>51669678</v>
      </c>
      <c r="AB196">
        <f t="shared" si="170"/>
        <v>306.5</v>
      </c>
      <c r="AC196">
        <f t="shared" si="171"/>
        <v>306.5</v>
      </c>
      <c r="AD196">
        <f>ROUND((((ET196)-(EU196))+AE196),2)</f>
        <v>0</v>
      </c>
      <c r="AE196">
        <f>ROUND((EU196),2)</f>
        <v>0</v>
      </c>
      <c r="AF196">
        <f>ROUND((EV196),2)</f>
        <v>0</v>
      </c>
      <c r="AG196">
        <f t="shared" si="172"/>
        <v>0</v>
      </c>
      <c r="AH196">
        <f>(EW196)</f>
        <v>0</v>
      </c>
      <c r="AI196">
        <f>(EX196)</f>
        <v>0</v>
      </c>
      <c r="AJ196">
        <f t="shared" si="173"/>
        <v>0</v>
      </c>
      <c r="AK196">
        <v>306.5</v>
      </c>
      <c r="AL196">
        <v>306.5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4.97</v>
      </c>
      <c r="BH196">
        <v>3</v>
      </c>
      <c r="BI196">
        <v>1</v>
      </c>
      <c r="BJ196" t="s">
        <v>357</v>
      </c>
      <c r="BM196">
        <v>500001</v>
      </c>
      <c r="BN196">
        <v>0</v>
      </c>
      <c r="BO196" t="s">
        <v>355</v>
      </c>
      <c r="BP196">
        <v>1</v>
      </c>
      <c r="BQ196">
        <v>8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Z196">
        <v>0</v>
      </c>
      <c r="CA196">
        <v>0</v>
      </c>
      <c r="CE196">
        <v>0</v>
      </c>
      <c r="CF196">
        <v>0</v>
      </c>
      <c r="CG196">
        <v>0</v>
      </c>
      <c r="CM196">
        <v>0</v>
      </c>
      <c r="CO196">
        <v>0</v>
      </c>
      <c r="CP196">
        <f t="shared" si="174"/>
        <v>-9139.83</v>
      </c>
      <c r="CQ196">
        <f t="shared" si="175"/>
        <v>1523.3049999999998</v>
      </c>
      <c r="CR196">
        <f t="shared" si="176"/>
        <v>0</v>
      </c>
      <c r="CS196">
        <f t="shared" si="177"/>
        <v>0</v>
      </c>
      <c r="CT196">
        <f t="shared" si="178"/>
        <v>0</v>
      </c>
      <c r="CU196">
        <f t="shared" si="179"/>
        <v>0</v>
      </c>
      <c r="CV196">
        <f t="shared" si="180"/>
        <v>0</v>
      </c>
      <c r="CW196">
        <f t="shared" si="181"/>
        <v>0</v>
      </c>
      <c r="CX196">
        <f t="shared" si="182"/>
        <v>0</v>
      </c>
      <c r="CY196">
        <f t="shared" si="183"/>
        <v>0</v>
      </c>
      <c r="CZ196">
        <f t="shared" si="184"/>
        <v>0</v>
      </c>
      <c r="DN196">
        <v>0</v>
      </c>
      <c r="DO196">
        <v>0</v>
      </c>
      <c r="DP196">
        <v>1</v>
      </c>
      <c r="DQ196">
        <v>1</v>
      </c>
      <c r="DU196">
        <v>1010</v>
      </c>
      <c r="DV196" t="s">
        <v>202</v>
      </c>
      <c r="DW196" t="s">
        <v>202</v>
      </c>
      <c r="DX196">
        <v>1</v>
      </c>
      <c r="EE196">
        <v>48034321</v>
      </c>
      <c r="EF196">
        <v>8</v>
      </c>
      <c r="EG196" t="s">
        <v>151</v>
      </c>
      <c r="EH196">
        <v>0</v>
      </c>
      <c r="EJ196">
        <v>1</v>
      </c>
      <c r="EK196">
        <v>500001</v>
      </c>
      <c r="EL196" t="s">
        <v>152</v>
      </c>
      <c r="EM196" t="s">
        <v>153</v>
      </c>
      <c r="EQ196">
        <v>512</v>
      </c>
      <c r="ER196">
        <v>306.5</v>
      </c>
      <c r="ES196">
        <v>306.5</v>
      </c>
      <c r="ET196">
        <v>0</v>
      </c>
      <c r="EU196">
        <v>0</v>
      </c>
      <c r="EV196">
        <v>0</v>
      </c>
      <c r="EW196">
        <v>0</v>
      </c>
      <c r="EX196">
        <v>0</v>
      </c>
      <c r="FQ196">
        <v>0</v>
      </c>
      <c r="FR196">
        <f t="shared" si="185"/>
        <v>0</v>
      </c>
      <c r="FS196">
        <v>0</v>
      </c>
      <c r="FX196">
        <v>0</v>
      </c>
      <c r="FY196">
        <v>0</v>
      </c>
      <c r="GD196">
        <v>1</v>
      </c>
      <c r="GF196">
        <v>972105927</v>
      </c>
      <c r="GG196">
        <v>2</v>
      </c>
      <c r="GH196">
        <v>1</v>
      </c>
      <c r="GI196">
        <v>2</v>
      </c>
      <c r="GJ196">
        <v>0</v>
      </c>
      <c r="GK196">
        <v>0</v>
      </c>
      <c r="GL196">
        <f t="shared" si="186"/>
        <v>0</v>
      </c>
      <c r="GM196">
        <f t="shared" si="187"/>
        <v>-9139.83</v>
      </c>
      <c r="GN196">
        <f t="shared" si="188"/>
        <v>-9139.83</v>
      </c>
      <c r="GO196">
        <f t="shared" si="189"/>
        <v>0</v>
      </c>
      <c r="GP196">
        <f t="shared" si="190"/>
        <v>0</v>
      </c>
      <c r="GR196">
        <v>0</v>
      </c>
      <c r="GS196">
        <v>3</v>
      </c>
      <c r="GT196">
        <v>0</v>
      </c>
      <c r="GV196">
        <f t="shared" si="191"/>
        <v>0</v>
      </c>
      <c r="GW196">
        <v>1</v>
      </c>
      <c r="GX196">
        <f t="shared" si="192"/>
        <v>0</v>
      </c>
      <c r="HA196">
        <v>0</v>
      </c>
      <c r="HB196">
        <v>0</v>
      </c>
      <c r="HC196">
        <f t="shared" si="193"/>
        <v>0</v>
      </c>
      <c r="IK196">
        <v>0</v>
      </c>
    </row>
    <row r="197" spans="1:245" ht="12.75">
      <c r="A197">
        <v>17</v>
      </c>
      <c r="B197">
        <v>1</v>
      </c>
      <c r="C197">
        <f>ROW(SmtRes!A210)</f>
        <v>210</v>
      </c>
      <c r="D197">
        <f>ROW(EtalonRes!A190)</f>
        <v>190</v>
      </c>
      <c r="E197" t="s">
        <v>358</v>
      </c>
      <c r="F197" t="s">
        <v>359</v>
      </c>
      <c r="G197" t="s">
        <v>360</v>
      </c>
      <c r="H197" t="s">
        <v>361</v>
      </c>
      <c r="I197">
        <v>0.348</v>
      </c>
      <c r="J197">
        <v>0</v>
      </c>
      <c r="O197">
        <f t="shared" si="159"/>
        <v>12483.84</v>
      </c>
      <c r="P197">
        <f t="shared" si="160"/>
        <v>1194.42</v>
      </c>
      <c r="Q197">
        <f t="shared" si="161"/>
        <v>464.93</v>
      </c>
      <c r="R197">
        <f t="shared" si="162"/>
        <v>49.76</v>
      </c>
      <c r="S197">
        <f t="shared" si="163"/>
        <v>10824.49</v>
      </c>
      <c r="T197">
        <f t="shared" si="164"/>
        <v>0</v>
      </c>
      <c r="U197">
        <f t="shared" si="165"/>
        <v>66.52324499999997</v>
      </c>
      <c r="V197">
        <f t="shared" si="166"/>
        <v>0.20662499999999998</v>
      </c>
      <c r="W197">
        <f t="shared" si="167"/>
        <v>0</v>
      </c>
      <c r="X197">
        <f t="shared" si="168"/>
        <v>12505.39</v>
      </c>
      <c r="Y197">
        <f t="shared" si="169"/>
        <v>7720.72</v>
      </c>
      <c r="AA197">
        <v>51669678</v>
      </c>
      <c r="AB197">
        <f t="shared" si="170"/>
        <v>4005.13</v>
      </c>
      <c r="AC197">
        <f t="shared" si="171"/>
        <v>632.09</v>
      </c>
      <c r="AD197">
        <f>ROUND((((((ET197*1.25)*1.25))-(((EU197*1.25)*1.25)))+AE197),2)</f>
        <v>205.54</v>
      </c>
      <c r="AE197">
        <f>ROUND((((EU197*1.25)*1.25)),2)</f>
        <v>14.56</v>
      </c>
      <c r="AF197">
        <f>ROUND((((EV197*1.15)*1.25)),2)</f>
        <v>3167.5</v>
      </c>
      <c r="AG197">
        <f t="shared" si="172"/>
        <v>0</v>
      </c>
      <c r="AH197">
        <f>(((EW197*1.15)*1.25))</f>
        <v>191.15874999999994</v>
      </c>
      <c r="AI197">
        <f>(((EX197*1.25)*1.25))</f>
        <v>0.59375</v>
      </c>
      <c r="AJ197">
        <f t="shared" si="173"/>
        <v>0</v>
      </c>
      <c r="AK197">
        <v>2967.12</v>
      </c>
      <c r="AL197">
        <v>632.09</v>
      </c>
      <c r="AM197">
        <v>131.55</v>
      </c>
      <c r="AN197">
        <v>9.32</v>
      </c>
      <c r="AO197">
        <v>2203.48</v>
      </c>
      <c r="AP197">
        <v>0</v>
      </c>
      <c r="AQ197">
        <v>132.98</v>
      </c>
      <c r="AR197">
        <v>0.38</v>
      </c>
      <c r="AS197">
        <v>0</v>
      </c>
      <c r="AT197">
        <v>115</v>
      </c>
      <c r="AU197">
        <v>71</v>
      </c>
      <c r="AV197">
        <v>1</v>
      </c>
      <c r="AW197">
        <v>1</v>
      </c>
      <c r="AZ197">
        <v>1</v>
      </c>
      <c r="BA197">
        <v>9.82</v>
      </c>
      <c r="BB197">
        <v>6.5</v>
      </c>
      <c r="BC197">
        <v>5.43</v>
      </c>
      <c r="BH197">
        <v>0</v>
      </c>
      <c r="BI197">
        <v>1</v>
      </c>
      <c r="BJ197" t="s">
        <v>362</v>
      </c>
      <c r="BM197">
        <v>20001</v>
      </c>
      <c r="BN197">
        <v>0</v>
      </c>
      <c r="BO197" t="s">
        <v>359</v>
      </c>
      <c r="BP197">
        <v>1</v>
      </c>
      <c r="BQ197">
        <v>2</v>
      </c>
      <c r="BR197">
        <v>0</v>
      </c>
      <c r="BS197">
        <v>9.82</v>
      </c>
      <c r="BT197">
        <v>1</v>
      </c>
      <c r="BU197">
        <v>1</v>
      </c>
      <c r="BV197">
        <v>1</v>
      </c>
      <c r="BW197">
        <v>1</v>
      </c>
      <c r="BX197">
        <v>1</v>
      </c>
      <c r="BZ197">
        <v>128</v>
      </c>
      <c r="CA197">
        <v>83</v>
      </c>
      <c r="CE197">
        <v>0</v>
      </c>
      <c r="CF197">
        <v>0</v>
      </c>
      <c r="CG197">
        <v>0</v>
      </c>
      <c r="CM197">
        <v>0</v>
      </c>
      <c r="CN197" t="s">
        <v>721</v>
      </c>
      <c r="CO197">
        <v>0</v>
      </c>
      <c r="CP197">
        <f t="shared" si="174"/>
        <v>12483.84</v>
      </c>
      <c r="CQ197">
        <f t="shared" si="175"/>
        <v>3432.2487</v>
      </c>
      <c r="CR197">
        <f t="shared" si="176"/>
        <v>1336.01</v>
      </c>
      <c r="CS197">
        <f t="shared" si="177"/>
        <v>142.97920000000002</v>
      </c>
      <c r="CT197">
        <f t="shared" si="178"/>
        <v>31104.850000000002</v>
      </c>
      <c r="CU197">
        <f t="shared" si="179"/>
        <v>0</v>
      </c>
      <c r="CV197">
        <f t="shared" si="180"/>
        <v>191.15874999999994</v>
      </c>
      <c r="CW197">
        <f t="shared" si="181"/>
        <v>0.59375</v>
      </c>
      <c r="CX197">
        <f t="shared" si="182"/>
        <v>0</v>
      </c>
      <c r="CY197">
        <f t="shared" si="183"/>
        <v>12505.3875</v>
      </c>
      <c r="CZ197">
        <f t="shared" si="184"/>
        <v>7720.7175</v>
      </c>
      <c r="DE197" t="s">
        <v>139</v>
      </c>
      <c r="DF197" t="s">
        <v>139</v>
      </c>
      <c r="DG197" t="s">
        <v>140</v>
      </c>
      <c r="DI197" t="s">
        <v>140</v>
      </c>
      <c r="DJ197" t="s">
        <v>139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361</v>
      </c>
      <c r="DW197" t="s">
        <v>361</v>
      </c>
      <c r="DX197">
        <v>1</v>
      </c>
      <c r="EE197">
        <v>48034419</v>
      </c>
      <c r="EF197">
        <v>2</v>
      </c>
      <c r="EG197" t="s">
        <v>20</v>
      </c>
      <c r="EH197">
        <v>0</v>
      </c>
      <c r="EJ197">
        <v>1</v>
      </c>
      <c r="EK197">
        <v>20001</v>
      </c>
      <c r="EL197" t="s">
        <v>256</v>
      </c>
      <c r="EM197" t="s">
        <v>257</v>
      </c>
      <c r="EO197" t="s">
        <v>143</v>
      </c>
      <c r="EQ197">
        <v>131584</v>
      </c>
      <c r="ER197">
        <v>2967.12</v>
      </c>
      <c r="ES197">
        <v>632.09</v>
      </c>
      <c r="ET197">
        <v>131.55</v>
      </c>
      <c r="EU197">
        <v>9.32</v>
      </c>
      <c r="EV197">
        <v>2203.48</v>
      </c>
      <c r="EW197">
        <v>132.98</v>
      </c>
      <c r="EX197">
        <v>0.38</v>
      </c>
      <c r="EY197">
        <v>0</v>
      </c>
      <c r="FQ197">
        <v>0</v>
      </c>
      <c r="FR197">
        <f t="shared" si="185"/>
        <v>0</v>
      </c>
      <c r="FS197">
        <v>0</v>
      </c>
      <c r="FT197" t="s">
        <v>24</v>
      </c>
      <c r="FU197" t="s">
        <v>25</v>
      </c>
      <c r="FX197">
        <v>115.2</v>
      </c>
      <c r="FY197">
        <v>70.55</v>
      </c>
      <c r="GD197">
        <v>1</v>
      </c>
      <c r="GF197">
        <v>1851579200</v>
      </c>
      <c r="GG197">
        <v>2</v>
      </c>
      <c r="GH197">
        <v>1</v>
      </c>
      <c r="GI197">
        <v>2</v>
      </c>
      <c r="GJ197">
        <v>0</v>
      </c>
      <c r="GK197">
        <v>0</v>
      </c>
      <c r="GL197">
        <f t="shared" si="186"/>
        <v>0</v>
      </c>
      <c r="GM197">
        <f t="shared" si="187"/>
        <v>32709.95</v>
      </c>
      <c r="GN197">
        <f t="shared" si="188"/>
        <v>32709.95</v>
      </c>
      <c r="GO197">
        <f t="shared" si="189"/>
        <v>0</v>
      </c>
      <c r="GP197">
        <f t="shared" si="190"/>
        <v>0</v>
      </c>
      <c r="GR197">
        <v>0</v>
      </c>
      <c r="GS197">
        <v>3</v>
      </c>
      <c r="GT197">
        <v>0</v>
      </c>
      <c r="GV197">
        <f t="shared" si="191"/>
        <v>0</v>
      </c>
      <c r="GW197">
        <v>1</v>
      </c>
      <c r="GX197">
        <f t="shared" si="192"/>
        <v>0</v>
      </c>
      <c r="HA197">
        <v>0</v>
      </c>
      <c r="HB197">
        <v>0</v>
      </c>
      <c r="HC197">
        <f t="shared" si="193"/>
        <v>0</v>
      </c>
      <c r="IK197">
        <v>0</v>
      </c>
    </row>
    <row r="198" spans="1:245" ht="12.75">
      <c r="A198">
        <v>18</v>
      </c>
      <c r="B198">
        <v>1</v>
      </c>
      <c r="C198">
        <v>209</v>
      </c>
      <c r="E198" t="s">
        <v>363</v>
      </c>
      <c r="F198" t="s">
        <v>364</v>
      </c>
      <c r="G198" t="s">
        <v>365</v>
      </c>
      <c r="H198" t="s">
        <v>182</v>
      </c>
      <c r="I198">
        <f>I197*J198</f>
        <v>34.8</v>
      </c>
      <c r="J198">
        <v>100</v>
      </c>
      <c r="O198">
        <f t="shared" si="159"/>
        <v>8287.48</v>
      </c>
      <c r="P198">
        <f t="shared" si="160"/>
        <v>8287.48</v>
      </c>
      <c r="Q198">
        <f t="shared" si="161"/>
        <v>0</v>
      </c>
      <c r="R198">
        <f t="shared" si="162"/>
        <v>0</v>
      </c>
      <c r="S198">
        <f t="shared" si="163"/>
        <v>0</v>
      </c>
      <c r="T198">
        <f t="shared" si="164"/>
        <v>0</v>
      </c>
      <c r="U198">
        <f t="shared" si="165"/>
        <v>0</v>
      </c>
      <c r="V198">
        <f t="shared" si="166"/>
        <v>0</v>
      </c>
      <c r="W198">
        <f t="shared" si="167"/>
        <v>0</v>
      </c>
      <c r="X198">
        <f t="shared" si="168"/>
        <v>0</v>
      </c>
      <c r="Y198">
        <f t="shared" si="169"/>
        <v>0</v>
      </c>
      <c r="AA198">
        <v>51669678</v>
      </c>
      <c r="AB198">
        <f t="shared" si="170"/>
        <v>68.63</v>
      </c>
      <c r="AC198">
        <f t="shared" si="171"/>
        <v>68.63</v>
      </c>
      <c r="AD198">
        <f>ROUND((((ET198)-(EU198))+AE198),2)</f>
        <v>0</v>
      </c>
      <c r="AE198">
        <f>ROUND((EU198),2)</f>
        <v>0</v>
      </c>
      <c r="AF198">
        <f>ROUND((EV198),2)</f>
        <v>0</v>
      </c>
      <c r="AG198">
        <f t="shared" si="172"/>
        <v>0</v>
      </c>
      <c r="AH198">
        <f>(EW198)</f>
        <v>0</v>
      </c>
      <c r="AI198">
        <f>(EX198)</f>
        <v>0</v>
      </c>
      <c r="AJ198">
        <f t="shared" si="173"/>
        <v>0</v>
      </c>
      <c r="AK198">
        <v>68.63</v>
      </c>
      <c r="AL198">
        <v>68.63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1</v>
      </c>
      <c r="AW198">
        <v>1</v>
      </c>
      <c r="AZ198">
        <v>1</v>
      </c>
      <c r="BA198">
        <v>1</v>
      </c>
      <c r="BB198">
        <v>1</v>
      </c>
      <c r="BC198">
        <v>3.47</v>
      </c>
      <c r="BH198">
        <v>3</v>
      </c>
      <c r="BI198">
        <v>1</v>
      </c>
      <c r="BJ198" t="s">
        <v>366</v>
      </c>
      <c r="BM198">
        <v>500001</v>
      </c>
      <c r="BN198">
        <v>0</v>
      </c>
      <c r="BO198" t="s">
        <v>364</v>
      </c>
      <c r="BP198">
        <v>1</v>
      </c>
      <c r="BQ198">
        <v>8</v>
      </c>
      <c r="BR198">
        <v>0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Z198">
        <v>0</v>
      </c>
      <c r="CA198">
        <v>0</v>
      </c>
      <c r="CE198">
        <v>0</v>
      </c>
      <c r="CF198">
        <v>0</v>
      </c>
      <c r="CG198">
        <v>0</v>
      </c>
      <c r="CM198">
        <v>0</v>
      </c>
      <c r="CO198">
        <v>0</v>
      </c>
      <c r="CP198">
        <f t="shared" si="174"/>
        <v>8287.48</v>
      </c>
      <c r="CQ198">
        <f t="shared" si="175"/>
        <v>238.1461</v>
      </c>
      <c r="CR198">
        <f t="shared" si="176"/>
        <v>0</v>
      </c>
      <c r="CS198">
        <f t="shared" si="177"/>
        <v>0</v>
      </c>
      <c r="CT198">
        <f t="shared" si="178"/>
        <v>0</v>
      </c>
      <c r="CU198">
        <f t="shared" si="179"/>
        <v>0</v>
      </c>
      <c r="CV198">
        <f t="shared" si="180"/>
        <v>0</v>
      </c>
      <c r="CW198">
        <f t="shared" si="181"/>
        <v>0</v>
      </c>
      <c r="CX198">
        <f t="shared" si="182"/>
        <v>0</v>
      </c>
      <c r="CY198">
        <f t="shared" si="183"/>
        <v>0</v>
      </c>
      <c r="CZ198">
        <f t="shared" si="184"/>
        <v>0</v>
      </c>
      <c r="DN198">
        <v>0</v>
      </c>
      <c r="DO198">
        <v>0</v>
      </c>
      <c r="DP198">
        <v>1</v>
      </c>
      <c r="DQ198">
        <v>1</v>
      </c>
      <c r="DU198">
        <v>1005</v>
      </c>
      <c r="DV198" t="s">
        <v>182</v>
      </c>
      <c r="DW198" t="s">
        <v>184</v>
      </c>
      <c r="DX198">
        <v>1</v>
      </c>
      <c r="EE198">
        <v>48034321</v>
      </c>
      <c r="EF198">
        <v>8</v>
      </c>
      <c r="EG198" t="s">
        <v>151</v>
      </c>
      <c r="EH198">
        <v>0</v>
      </c>
      <c r="EJ198">
        <v>1</v>
      </c>
      <c r="EK198">
        <v>500001</v>
      </c>
      <c r="EL198" t="s">
        <v>152</v>
      </c>
      <c r="EM198" t="s">
        <v>153</v>
      </c>
      <c r="EQ198">
        <v>512</v>
      </c>
      <c r="ER198">
        <v>68.63</v>
      </c>
      <c r="ES198">
        <v>68.63</v>
      </c>
      <c r="ET198">
        <v>0</v>
      </c>
      <c r="EU198">
        <v>0</v>
      </c>
      <c r="EV198">
        <v>0</v>
      </c>
      <c r="EW198">
        <v>0</v>
      </c>
      <c r="EX198">
        <v>0</v>
      </c>
      <c r="FQ198">
        <v>0</v>
      </c>
      <c r="FR198">
        <f t="shared" si="185"/>
        <v>0</v>
      </c>
      <c r="FS198">
        <v>0</v>
      </c>
      <c r="FX198">
        <v>0</v>
      </c>
      <c r="FY198">
        <v>0</v>
      </c>
      <c r="GD198">
        <v>1</v>
      </c>
      <c r="GF198">
        <v>1973567642</v>
      </c>
      <c r="GG198">
        <v>2</v>
      </c>
      <c r="GH198">
        <v>1</v>
      </c>
      <c r="GI198">
        <v>2</v>
      </c>
      <c r="GJ198">
        <v>0</v>
      </c>
      <c r="GK198">
        <v>0</v>
      </c>
      <c r="GL198">
        <f t="shared" si="186"/>
        <v>0</v>
      </c>
      <c r="GM198">
        <f t="shared" si="187"/>
        <v>8287.48</v>
      </c>
      <c r="GN198">
        <f t="shared" si="188"/>
        <v>8287.48</v>
      </c>
      <c r="GO198">
        <f t="shared" si="189"/>
        <v>0</v>
      </c>
      <c r="GP198">
        <f t="shared" si="190"/>
        <v>0</v>
      </c>
      <c r="GR198">
        <v>0</v>
      </c>
      <c r="GS198">
        <v>3</v>
      </c>
      <c r="GT198">
        <v>0</v>
      </c>
      <c r="GV198">
        <f t="shared" si="191"/>
        <v>0</v>
      </c>
      <c r="GW198">
        <v>1</v>
      </c>
      <c r="GX198">
        <f t="shared" si="192"/>
        <v>0</v>
      </c>
      <c r="HA198">
        <v>0</v>
      </c>
      <c r="HB198">
        <v>0</v>
      </c>
      <c r="HC198">
        <f t="shared" si="193"/>
        <v>0</v>
      </c>
      <c r="IK198">
        <v>0</v>
      </c>
    </row>
    <row r="199" spans="1:245" ht="12.75">
      <c r="A199">
        <v>17</v>
      </c>
      <c r="B199">
        <v>1</v>
      </c>
      <c r="C199">
        <f>ROW(SmtRes!A217)</f>
        <v>217</v>
      </c>
      <c r="D199">
        <f>ROW(EtalonRes!A198)</f>
        <v>198</v>
      </c>
      <c r="E199" t="s">
        <v>367</v>
      </c>
      <c r="F199" t="s">
        <v>368</v>
      </c>
      <c r="G199" t="s">
        <v>369</v>
      </c>
      <c r="H199" t="s">
        <v>370</v>
      </c>
      <c r="I199">
        <v>3</v>
      </c>
      <c r="J199">
        <v>0</v>
      </c>
      <c r="O199">
        <f t="shared" si="159"/>
        <v>926.58</v>
      </c>
      <c r="P199">
        <f t="shared" si="160"/>
        <v>120.66</v>
      </c>
      <c r="Q199">
        <f t="shared" si="161"/>
        <v>68.54</v>
      </c>
      <c r="R199">
        <f t="shared" si="162"/>
        <v>0</v>
      </c>
      <c r="S199">
        <f t="shared" si="163"/>
        <v>737.38</v>
      </c>
      <c r="T199">
        <f t="shared" si="164"/>
        <v>0</v>
      </c>
      <c r="U199">
        <f t="shared" si="165"/>
        <v>4.3125</v>
      </c>
      <c r="V199">
        <f t="shared" si="166"/>
        <v>0</v>
      </c>
      <c r="W199">
        <f t="shared" si="167"/>
        <v>0</v>
      </c>
      <c r="X199">
        <f t="shared" si="168"/>
        <v>847.99</v>
      </c>
      <c r="Y199">
        <f t="shared" si="169"/>
        <v>523.54</v>
      </c>
      <c r="AA199">
        <v>51669678</v>
      </c>
      <c r="AB199">
        <f t="shared" si="170"/>
        <v>34.08</v>
      </c>
      <c r="AC199">
        <f t="shared" si="171"/>
        <v>5.21</v>
      </c>
      <c r="AD199">
        <f>ROUND((((((ET199*1.25)*1.25))-(((EU199*1.25)*1.25)))+AE199),2)</f>
        <v>3.84</v>
      </c>
      <c r="AE199">
        <f>ROUND((((EU199*1.25)*1.25)),2)</f>
        <v>0</v>
      </c>
      <c r="AF199">
        <f>ROUND((((EV199*1.15)*1.25)),2)</f>
        <v>25.03</v>
      </c>
      <c r="AG199">
        <f t="shared" si="172"/>
        <v>0</v>
      </c>
      <c r="AH199">
        <f>(((EW199*1.15)*1.25))</f>
        <v>1.4375</v>
      </c>
      <c r="AI199">
        <f>(((EX199*1.25)*1.25))</f>
        <v>0</v>
      </c>
      <c r="AJ199">
        <f t="shared" si="173"/>
        <v>0</v>
      </c>
      <c r="AK199">
        <v>25.08</v>
      </c>
      <c r="AL199">
        <v>5.21</v>
      </c>
      <c r="AM199">
        <v>2.46</v>
      </c>
      <c r="AN199">
        <v>0</v>
      </c>
      <c r="AO199">
        <v>17.41</v>
      </c>
      <c r="AP199">
        <v>0</v>
      </c>
      <c r="AQ199">
        <v>1</v>
      </c>
      <c r="AR199">
        <v>0</v>
      </c>
      <c r="AS199">
        <v>0</v>
      </c>
      <c r="AT199">
        <v>115</v>
      </c>
      <c r="AU199">
        <v>71</v>
      </c>
      <c r="AV199">
        <v>1</v>
      </c>
      <c r="AW199">
        <v>1</v>
      </c>
      <c r="AZ199">
        <v>1</v>
      </c>
      <c r="BA199">
        <v>9.82</v>
      </c>
      <c r="BB199">
        <v>5.95</v>
      </c>
      <c r="BC199">
        <v>7.72</v>
      </c>
      <c r="BH199">
        <v>0</v>
      </c>
      <c r="BI199">
        <v>1</v>
      </c>
      <c r="BJ199" t="s">
        <v>371</v>
      </c>
      <c r="BM199">
        <v>20001</v>
      </c>
      <c r="BN199">
        <v>0</v>
      </c>
      <c r="BO199" t="s">
        <v>368</v>
      </c>
      <c r="BP199">
        <v>1</v>
      </c>
      <c r="BQ199">
        <v>2</v>
      </c>
      <c r="BR199">
        <v>0</v>
      </c>
      <c r="BS199">
        <v>9.82</v>
      </c>
      <c r="BT199">
        <v>1</v>
      </c>
      <c r="BU199">
        <v>1</v>
      </c>
      <c r="BV199">
        <v>1</v>
      </c>
      <c r="BW199">
        <v>1</v>
      </c>
      <c r="BX199">
        <v>1</v>
      </c>
      <c r="BZ199">
        <v>128</v>
      </c>
      <c r="CA199">
        <v>83</v>
      </c>
      <c r="CE199">
        <v>0</v>
      </c>
      <c r="CF199">
        <v>0</v>
      </c>
      <c r="CG199">
        <v>0</v>
      </c>
      <c r="CM199">
        <v>0</v>
      </c>
      <c r="CN199" t="s">
        <v>721</v>
      </c>
      <c r="CO199">
        <v>0</v>
      </c>
      <c r="CP199">
        <f t="shared" si="174"/>
        <v>926.5799999999999</v>
      </c>
      <c r="CQ199">
        <f t="shared" si="175"/>
        <v>40.221199999999996</v>
      </c>
      <c r="CR199">
        <f t="shared" si="176"/>
        <v>22.848</v>
      </c>
      <c r="CS199">
        <f t="shared" si="177"/>
        <v>0</v>
      </c>
      <c r="CT199">
        <f t="shared" si="178"/>
        <v>245.79460000000003</v>
      </c>
      <c r="CU199">
        <f t="shared" si="179"/>
        <v>0</v>
      </c>
      <c r="CV199">
        <f t="shared" si="180"/>
        <v>1.4375</v>
      </c>
      <c r="CW199">
        <f t="shared" si="181"/>
        <v>0</v>
      </c>
      <c r="CX199">
        <f t="shared" si="182"/>
        <v>0</v>
      </c>
      <c r="CY199">
        <f t="shared" si="183"/>
        <v>847.987</v>
      </c>
      <c r="CZ199">
        <f t="shared" si="184"/>
        <v>523.5398</v>
      </c>
      <c r="DE199" t="s">
        <v>139</v>
      </c>
      <c r="DF199" t="s">
        <v>139</v>
      </c>
      <c r="DG199" t="s">
        <v>140</v>
      </c>
      <c r="DI199" t="s">
        <v>140</v>
      </c>
      <c r="DJ199" t="s">
        <v>139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370</v>
      </c>
      <c r="DW199" t="s">
        <v>370</v>
      </c>
      <c r="DX199">
        <v>1</v>
      </c>
      <c r="EE199">
        <v>48034419</v>
      </c>
      <c r="EF199">
        <v>2</v>
      </c>
      <c r="EG199" t="s">
        <v>20</v>
      </c>
      <c r="EH199">
        <v>0</v>
      </c>
      <c r="EJ199">
        <v>1</v>
      </c>
      <c r="EK199">
        <v>20001</v>
      </c>
      <c r="EL199" t="s">
        <v>256</v>
      </c>
      <c r="EM199" t="s">
        <v>257</v>
      </c>
      <c r="EO199" t="s">
        <v>143</v>
      </c>
      <c r="EQ199">
        <v>131584</v>
      </c>
      <c r="ER199">
        <v>25.08</v>
      </c>
      <c r="ES199">
        <v>5.21</v>
      </c>
      <c r="ET199">
        <v>2.46</v>
      </c>
      <c r="EU199">
        <v>0</v>
      </c>
      <c r="EV199">
        <v>17.41</v>
      </c>
      <c r="EW199">
        <v>1</v>
      </c>
      <c r="EX199">
        <v>0</v>
      </c>
      <c r="EY199">
        <v>0</v>
      </c>
      <c r="FQ199">
        <v>0</v>
      </c>
      <c r="FR199">
        <f t="shared" si="185"/>
        <v>0</v>
      </c>
      <c r="FS199">
        <v>0</v>
      </c>
      <c r="FT199" t="s">
        <v>24</v>
      </c>
      <c r="FU199" t="s">
        <v>25</v>
      </c>
      <c r="FX199">
        <v>115.2</v>
      </c>
      <c r="FY199">
        <v>70.55</v>
      </c>
      <c r="GD199">
        <v>1</v>
      </c>
      <c r="GF199">
        <v>1708249474</v>
      </c>
      <c r="GG199">
        <v>2</v>
      </c>
      <c r="GH199">
        <v>1</v>
      </c>
      <c r="GI199">
        <v>2</v>
      </c>
      <c r="GJ199">
        <v>0</v>
      </c>
      <c r="GK199">
        <v>0</v>
      </c>
      <c r="GL199">
        <f t="shared" si="186"/>
        <v>0</v>
      </c>
      <c r="GM199">
        <f t="shared" si="187"/>
        <v>2298.11</v>
      </c>
      <c r="GN199">
        <f t="shared" si="188"/>
        <v>2298.11</v>
      </c>
      <c r="GO199">
        <f t="shared" si="189"/>
        <v>0</v>
      </c>
      <c r="GP199">
        <f t="shared" si="190"/>
        <v>0</v>
      </c>
      <c r="GR199">
        <v>0</v>
      </c>
      <c r="GS199">
        <v>3</v>
      </c>
      <c r="GT199">
        <v>0</v>
      </c>
      <c r="GV199">
        <f t="shared" si="191"/>
        <v>0</v>
      </c>
      <c r="GW199">
        <v>1</v>
      </c>
      <c r="GX199">
        <f t="shared" si="192"/>
        <v>0</v>
      </c>
      <c r="HA199">
        <v>0</v>
      </c>
      <c r="HB199">
        <v>0</v>
      </c>
      <c r="HC199">
        <f t="shared" si="193"/>
        <v>0</v>
      </c>
      <c r="IK199">
        <v>0</v>
      </c>
    </row>
    <row r="200" spans="1:245" ht="12.75">
      <c r="A200">
        <v>18</v>
      </c>
      <c r="B200">
        <v>1</v>
      </c>
      <c r="C200">
        <v>217</v>
      </c>
      <c r="E200" t="s">
        <v>372</v>
      </c>
      <c r="F200" t="s">
        <v>373</v>
      </c>
      <c r="G200" t="s">
        <v>374</v>
      </c>
      <c r="H200" t="s">
        <v>202</v>
      </c>
      <c r="I200">
        <f>I199*J200</f>
        <v>3</v>
      </c>
      <c r="J200">
        <v>1</v>
      </c>
      <c r="O200">
        <f t="shared" si="159"/>
        <v>3313.89</v>
      </c>
      <c r="P200">
        <f t="shared" si="160"/>
        <v>3313.89</v>
      </c>
      <c r="Q200">
        <f t="shared" si="161"/>
        <v>0</v>
      </c>
      <c r="R200">
        <f t="shared" si="162"/>
        <v>0</v>
      </c>
      <c r="S200">
        <f t="shared" si="163"/>
        <v>0</v>
      </c>
      <c r="T200">
        <f t="shared" si="164"/>
        <v>0</v>
      </c>
      <c r="U200">
        <f t="shared" si="165"/>
        <v>0</v>
      </c>
      <c r="V200">
        <f t="shared" si="166"/>
        <v>0</v>
      </c>
      <c r="W200">
        <f t="shared" si="167"/>
        <v>0</v>
      </c>
      <c r="X200">
        <f t="shared" si="168"/>
        <v>0</v>
      </c>
      <c r="Y200">
        <f t="shared" si="169"/>
        <v>0</v>
      </c>
      <c r="AA200">
        <v>51669678</v>
      </c>
      <c r="AB200">
        <f t="shared" si="170"/>
        <v>423.23</v>
      </c>
      <c r="AC200">
        <f t="shared" si="171"/>
        <v>423.23</v>
      </c>
      <c r="AD200">
        <f>ROUND((((ET200)-(EU200))+AE200),2)</f>
        <v>0</v>
      </c>
      <c r="AE200">
        <f>ROUND((EU200),2)</f>
        <v>0</v>
      </c>
      <c r="AF200">
        <f>ROUND((EV200),2)</f>
        <v>0</v>
      </c>
      <c r="AG200">
        <f t="shared" si="172"/>
        <v>0</v>
      </c>
      <c r="AH200">
        <f>(EW200)</f>
        <v>0</v>
      </c>
      <c r="AI200">
        <f>(EX200)</f>
        <v>0</v>
      </c>
      <c r="AJ200">
        <f t="shared" si="173"/>
        <v>0</v>
      </c>
      <c r="AK200">
        <v>423.23</v>
      </c>
      <c r="AL200">
        <v>423.23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1</v>
      </c>
      <c r="AZ200">
        <v>1</v>
      </c>
      <c r="BA200">
        <v>1</v>
      </c>
      <c r="BB200">
        <v>1</v>
      </c>
      <c r="BC200">
        <v>2.61</v>
      </c>
      <c r="BH200">
        <v>3</v>
      </c>
      <c r="BI200">
        <v>1</v>
      </c>
      <c r="BJ200" t="s">
        <v>375</v>
      </c>
      <c r="BM200">
        <v>500001</v>
      </c>
      <c r="BN200">
        <v>0</v>
      </c>
      <c r="BO200" t="s">
        <v>373</v>
      </c>
      <c r="BP200">
        <v>1</v>
      </c>
      <c r="BQ200">
        <v>8</v>
      </c>
      <c r="BR200">
        <v>0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Z200">
        <v>0</v>
      </c>
      <c r="CA200">
        <v>0</v>
      </c>
      <c r="CE200">
        <v>0</v>
      </c>
      <c r="CF200">
        <v>0</v>
      </c>
      <c r="CG200">
        <v>0</v>
      </c>
      <c r="CM200">
        <v>0</v>
      </c>
      <c r="CO200">
        <v>0</v>
      </c>
      <c r="CP200">
        <f t="shared" si="174"/>
        <v>3313.89</v>
      </c>
      <c r="CQ200">
        <f t="shared" si="175"/>
        <v>1104.6303</v>
      </c>
      <c r="CR200">
        <f t="shared" si="176"/>
        <v>0</v>
      </c>
      <c r="CS200">
        <f t="shared" si="177"/>
        <v>0</v>
      </c>
      <c r="CT200">
        <f t="shared" si="178"/>
        <v>0</v>
      </c>
      <c r="CU200">
        <f t="shared" si="179"/>
        <v>0</v>
      </c>
      <c r="CV200">
        <f t="shared" si="180"/>
        <v>0</v>
      </c>
      <c r="CW200">
        <f t="shared" si="181"/>
        <v>0</v>
      </c>
      <c r="CX200">
        <f t="shared" si="182"/>
        <v>0</v>
      </c>
      <c r="CY200">
        <f t="shared" si="183"/>
        <v>0</v>
      </c>
      <c r="CZ200">
        <f t="shared" si="184"/>
        <v>0</v>
      </c>
      <c r="DN200">
        <v>0</v>
      </c>
      <c r="DO200">
        <v>0</v>
      </c>
      <c r="DP200">
        <v>1</v>
      </c>
      <c r="DQ200">
        <v>1</v>
      </c>
      <c r="DU200">
        <v>1010</v>
      </c>
      <c r="DV200" t="s">
        <v>202</v>
      </c>
      <c r="DW200" t="s">
        <v>202</v>
      </c>
      <c r="DX200">
        <v>1</v>
      </c>
      <c r="EE200">
        <v>48034321</v>
      </c>
      <c r="EF200">
        <v>8</v>
      </c>
      <c r="EG200" t="s">
        <v>151</v>
      </c>
      <c r="EH200">
        <v>0</v>
      </c>
      <c r="EJ200">
        <v>1</v>
      </c>
      <c r="EK200">
        <v>500001</v>
      </c>
      <c r="EL200" t="s">
        <v>152</v>
      </c>
      <c r="EM200" t="s">
        <v>153</v>
      </c>
      <c r="EQ200">
        <v>512</v>
      </c>
      <c r="ER200">
        <v>423.23</v>
      </c>
      <c r="ES200">
        <v>423.23</v>
      </c>
      <c r="ET200">
        <v>0</v>
      </c>
      <c r="EU200">
        <v>0</v>
      </c>
      <c r="EV200">
        <v>0</v>
      </c>
      <c r="EW200">
        <v>0</v>
      </c>
      <c r="EX200">
        <v>0</v>
      </c>
      <c r="FQ200">
        <v>0</v>
      </c>
      <c r="FR200">
        <f t="shared" si="185"/>
        <v>0</v>
      </c>
      <c r="FS200">
        <v>0</v>
      </c>
      <c r="FX200">
        <v>0</v>
      </c>
      <c r="FY200">
        <v>0</v>
      </c>
      <c r="GD200">
        <v>1</v>
      </c>
      <c r="GF200">
        <v>-933033698</v>
      </c>
      <c r="GG200">
        <v>2</v>
      </c>
      <c r="GH200">
        <v>1</v>
      </c>
      <c r="GI200">
        <v>2</v>
      </c>
      <c r="GJ200">
        <v>0</v>
      </c>
      <c r="GK200">
        <v>0</v>
      </c>
      <c r="GL200">
        <f t="shared" si="186"/>
        <v>0</v>
      </c>
      <c r="GM200">
        <f t="shared" si="187"/>
        <v>3313.89</v>
      </c>
      <c r="GN200">
        <f t="shared" si="188"/>
        <v>3313.89</v>
      </c>
      <c r="GO200">
        <f t="shared" si="189"/>
        <v>0</v>
      </c>
      <c r="GP200">
        <f t="shared" si="190"/>
        <v>0</v>
      </c>
      <c r="GR200">
        <v>0</v>
      </c>
      <c r="GS200">
        <v>3</v>
      </c>
      <c r="GT200">
        <v>0</v>
      </c>
      <c r="GV200">
        <f t="shared" si="191"/>
        <v>0</v>
      </c>
      <c r="GW200">
        <v>1</v>
      </c>
      <c r="GX200">
        <f t="shared" si="192"/>
        <v>0</v>
      </c>
      <c r="HA200">
        <v>0</v>
      </c>
      <c r="HB200">
        <v>0</v>
      </c>
      <c r="HC200">
        <f t="shared" si="193"/>
        <v>0</v>
      </c>
      <c r="IK200">
        <v>0</v>
      </c>
    </row>
    <row r="202" spans="1:206" ht="12.75">
      <c r="A202" s="2">
        <v>51</v>
      </c>
      <c r="B202" s="2">
        <f>B174</f>
        <v>1</v>
      </c>
      <c r="C202" s="2">
        <f>A174</f>
        <v>5</v>
      </c>
      <c r="D202" s="2">
        <f>ROW(A174)</f>
        <v>174</v>
      </c>
      <c r="E202" s="2"/>
      <c r="F202" s="2" t="str">
        <f>IF(F174&lt;&gt;"",F174,"")</f>
        <v>Новый подраздел</v>
      </c>
      <c r="G202" s="2" t="str">
        <f>IF(G174&lt;&gt;"",G174,"")</f>
        <v>2.3. Устройство наружней водосточной системы</v>
      </c>
      <c r="H202" s="2">
        <v>0</v>
      </c>
      <c r="I202" s="2"/>
      <c r="J202" s="2"/>
      <c r="K202" s="2"/>
      <c r="L202" s="2"/>
      <c r="M202" s="2"/>
      <c r="N202" s="2"/>
      <c r="O202" s="2">
        <f aca="true" t="shared" si="199" ref="O202:T202">ROUND(AB202,2)</f>
        <v>88534.25</v>
      </c>
      <c r="P202" s="2">
        <f t="shared" si="199"/>
        <v>66064.66</v>
      </c>
      <c r="Q202" s="2">
        <f t="shared" si="199"/>
        <v>1781.51</v>
      </c>
      <c r="R202" s="2">
        <f t="shared" si="199"/>
        <v>110.66</v>
      </c>
      <c r="S202" s="2">
        <f t="shared" si="199"/>
        <v>20688.08</v>
      </c>
      <c r="T202" s="2">
        <f t="shared" si="199"/>
        <v>0</v>
      </c>
      <c r="U202" s="2">
        <f>AH202</f>
        <v>124.63892624999997</v>
      </c>
      <c r="V202" s="2">
        <f>AI202</f>
        <v>0.4578749999999999</v>
      </c>
      <c r="W202" s="2">
        <f>ROUND(AJ202,2)</f>
        <v>0</v>
      </c>
      <c r="X202" s="2">
        <f>ROUND(AK202,2)</f>
        <v>23599.72</v>
      </c>
      <c r="Y202" s="2">
        <f>ROUND(AL202,2)</f>
        <v>14038.34</v>
      </c>
      <c r="Z202" s="2"/>
      <c r="AA202" s="2"/>
      <c r="AB202" s="2">
        <f>ROUND(SUMIF(AA178:AA200,"=51669678",O178:O200),2)</f>
        <v>88534.25</v>
      </c>
      <c r="AC202" s="2">
        <f>ROUND(SUMIF(AA178:AA200,"=51669678",P178:P200),2)</f>
        <v>66064.66</v>
      </c>
      <c r="AD202" s="2">
        <f>ROUND(SUMIF(AA178:AA200,"=51669678",Q178:Q200),2)</f>
        <v>1781.51</v>
      </c>
      <c r="AE202" s="2">
        <f>ROUND(SUMIF(AA178:AA200,"=51669678",R178:R200),2)</f>
        <v>110.66</v>
      </c>
      <c r="AF202" s="2">
        <f>ROUND(SUMIF(AA178:AA200,"=51669678",S178:S200),2)</f>
        <v>20688.08</v>
      </c>
      <c r="AG202" s="2">
        <f>ROUND(SUMIF(AA178:AA200,"=51669678",T178:T200),2)</f>
        <v>0</v>
      </c>
      <c r="AH202" s="2">
        <f>SUMIF(AA178:AA200,"=51669678",U178:U200)</f>
        <v>124.63892624999997</v>
      </c>
      <c r="AI202" s="2">
        <f>SUMIF(AA178:AA200,"=51669678",V178:V200)</f>
        <v>0.4578749999999999</v>
      </c>
      <c r="AJ202" s="2">
        <f>ROUND(SUMIF(AA178:AA200,"=51669678",W178:W200),2)</f>
        <v>0</v>
      </c>
      <c r="AK202" s="2">
        <f>ROUND(SUMIF(AA178:AA200,"=51669678",X178:X200),2)</f>
        <v>23599.72</v>
      </c>
      <c r="AL202" s="2">
        <f>ROUND(SUMIF(AA178:AA200,"=51669678",Y178:Y200),2)</f>
        <v>14038.34</v>
      </c>
      <c r="AM202" s="2"/>
      <c r="AN202" s="2"/>
      <c r="AO202" s="2">
        <f aca="true" t="shared" si="200" ref="AO202:BC202">ROUND(BX202,2)</f>
        <v>0</v>
      </c>
      <c r="AP202" s="2">
        <f t="shared" si="200"/>
        <v>0</v>
      </c>
      <c r="AQ202" s="2">
        <f t="shared" si="200"/>
        <v>0</v>
      </c>
      <c r="AR202" s="2">
        <f t="shared" si="200"/>
        <v>126172.31</v>
      </c>
      <c r="AS202" s="2">
        <f t="shared" si="200"/>
        <v>126172.31</v>
      </c>
      <c r="AT202" s="2">
        <f t="shared" si="200"/>
        <v>0</v>
      </c>
      <c r="AU202" s="2">
        <f t="shared" si="200"/>
        <v>0</v>
      </c>
      <c r="AV202" s="2">
        <f t="shared" si="200"/>
        <v>66064.66</v>
      </c>
      <c r="AW202" s="2">
        <f t="shared" si="200"/>
        <v>66064.66</v>
      </c>
      <c r="AX202" s="2">
        <f t="shared" si="200"/>
        <v>0</v>
      </c>
      <c r="AY202" s="2">
        <f t="shared" si="200"/>
        <v>66064.66</v>
      </c>
      <c r="AZ202" s="2">
        <f t="shared" si="200"/>
        <v>0</v>
      </c>
      <c r="BA202" s="2">
        <f t="shared" si="200"/>
        <v>0</v>
      </c>
      <c r="BB202" s="2">
        <f t="shared" si="200"/>
        <v>0</v>
      </c>
      <c r="BC202" s="2">
        <f t="shared" si="200"/>
        <v>0</v>
      </c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>
        <f>ROUND(SUMIF(AA178:AA200,"=51669678",FQ178:FQ200),2)</f>
        <v>0</v>
      </c>
      <c r="BY202" s="2">
        <f>ROUND(SUMIF(AA178:AA200,"=51669678",FR178:FR200),2)</f>
        <v>0</v>
      </c>
      <c r="BZ202" s="2">
        <f>ROUND(SUMIF(AA178:AA200,"=51669678",GL178:GL200),2)</f>
        <v>0</v>
      </c>
      <c r="CA202" s="2">
        <f>ROUND(SUMIF(AA178:AA200,"=51669678",GM178:GM200),2)</f>
        <v>126172.31</v>
      </c>
      <c r="CB202" s="2">
        <f>ROUND(SUMIF(AA178:AA200,"=51669678",GN178:GN200),2)</f>
        <v>126172.31</v>
      </c>
      <c r="CC202" s="2">
        <f>ROUND(SUMIF(AA178:AA200,"=51669678",GO178:GO200),2)</f>
        <v>0</v>
      </c>
      <c r="CD202" s="2">
        <f>ROUND(SUMIF(AA178:AA200,"=51669678",GP178:GP200),2)</f>
        <v>0</v>
      </c>
      <c r="CE202" s="2">
        <f>AC202-BX202</f>
        <v>66064.66</v>
      </c>
      <c r="CF202" s="2">
        <f>AC202-BY202</f>
        <v>66064.66</v>
      </c>
      <c r="CG202" s="2">
        <f>BX202-BZ202</f>
        <v>0</v>
      </c>
      <c r="CH202" s="2">
        <f>AC202-BX202-BY202+BZ202</f>
        <v>66064.66</v>
      </c>
      <c r="CI202" s="2">
        <f>BY202-BZ202</f>
        <v>0</v>
      </c>
      <c r="CJ202" s="2">
        <f>ROUND(SUMIF(AA178:AA200,"=51669678",GX178:GX200),2)</f>
        <v>0</v>
      </c>
      <c r="CK202" s="2">
        <f>ROUND(SUMIF(AA178:AA200,"=51669678",GY178:GY200),2)</f>
        <v>0</v>
      </c>
      <c r="CL202" s="2">
        <f>ROUND(SUMIF(AA178:AA200,"=51669678",GZ178:GZ200),2)</f>
        <v>0</v>
      </c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>
        <v>0</v>
      </c>
    </row>
    <row r="204" spans="1:23" ht="12.75">
      <c r="A204" s="4">
        <v>50</v>
      </c>
      <c r="B204" s="4">
        <v>0</v>
      </c>
      <c r="C204" s="4">
        <v>0</v>
      </c>
      <c r="D204" s="4">
        <v>1</v>
      </c>
      <c r="E204" s="4">
        <v>201</v>
      </c>
      <c r="F204" s="4">
        <f>ROUND(Source!O202,O204)</f>
        <v>88534.25</v>
      </c>
      <c r="G204" s="4" t="s">
        <v>79</v>
      </c>
      <c r="H204" s="4" t="s">
        <v>80</v>
      </c>
      <c r="I204" s="4"/>
      <c r="J204" s="4"/>
      <c r="K204" s="4">
        <v>201</v>
      </c>
      <c r="L204" s="4">
        <v>1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ht="12.75">
      <c r="A205" s="4">
        <v>50</v>
      </c>
      <c r="B205" s="4">
        <v>0</v>
      </c>
      <c r="C205" s="4">
        <v>0</v>
      </c>
      <c r="D205" s="4">
        <v>1</v>
      </c>
      <c r="E205" s="4">
        <v>202</v>
      </c>
      <c r="F205" s="4">
        <f>ROUND(Source!P202,O205)</f>
        <v>66064.66</v>
      </c>
      <c r="G205" s="4" t="s">
        <v>81</v>
      </c>
      <c r="H205" s="4" t="s">
        <v>82</v>
      </c>
      <c r="I205" s="4"/>
      <c r="J205" s="4"/>
      <c r="K205" s="4">
        <v>202</v>
      </c>
      <c r="L205" s="4">
        <v>2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ht="12.75">
      <c r="A206" s="4">
        <v>50</v>
      </c>
      <c r="B206" s="4">
        <v>0</v>
      </c>
      <c r="C206" s="4">
        <v>0</v>
      </c>
      <c r="D206" s="4">
        <v>1</v>
      </c>
      <c r="E206" s="4">
        <v>222</v>
      </c>
      <c r="F206" s="4">
        <f>ROUND(Source!AO202,O206)</f>
        <v>0</v>
      </c>
      <c r="G206" s="4" t="s">
        <v>83</v>
      </c>
      <c r="H206" s="4" t="s">
        <v>84</v>
      </c>
      <c r="I206" s="4"/>
      <c r="J206" s="4"/>
      <c r="K206" s="4">
        <v>222</v>
      </c>
      <c r="L206" s="4">
        <v>3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ht="12.75">
      <c r="A207" s="4">
        <v>50</v>
      </c>
      <c r="B207" s="4">
        <v>0</v>
      </c>
      <c r="C207" s="4">
        <v>0</v>
      </c>
      <c r="D207" s="4">
        <v>1</v>
      </c>
      <c r="E207" s="4">
        <v>225</v>
      </c>
      <c r="F207" s="4">
        <f>ROUND(Source!AV202,O207)</f>
        <v>66064.66</v>
      </c>
      <c r="G207" s="4" t="s">
        <v>85</v>
      </c>
      <c r="H207" s="4" t="s">
        <v>86</v>
      </c>
      <c r="I207" s="4"/>
      <c r="J207" s="4"/>
      <c r="K207" s="4">
        <v>225</v>
      </c>
      <c r="L207" s="4">
        <v>4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ht="12.75">
      <c r="A208" s="4">
        <v>50</v>
      </c>
      <c r="B208" s="4">
        <v>0</v>
      </c>
      <c r="C208" s="4">
        <v>0</v>
      </c>
      <c r="D208" s="4">
        <v>1</v>
      </c>
      <c r="E208" s="4">
        <v>226</v>
      </c>
      <c r="F208" s="4">
        <f>ROUND(Source!AW202,O208)</f>
        <v>66064.66</v>
      </c>
      <c r="G208" s="4" t="s">
        <v>87</v>
      </c>
      <c r="H208" s="4" t="s">
        <v>88</v>
      </c>
      <c r="I208" s="4"/>
      <c r="J208" s="4"/>
      <c r="K208" s="4">
        <v>226</v>
      </c>
      <c r="L208" s="4">
        <v>5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ht="12.75">
      <c r="A209" s="4">
        <v>50</v>
      </c>
      <c r="B209" s="4">
        <v>0</v>
      </c>
      <c r="C209" s="4">
        <v>0</v>
      </c>
      <c r="D209" s="4">
        <v>1</v>
      </c>
      <c r="E209" s="4">
        <v>227</v>
      </c>
      <c r="F209" s="4">
        <f>ROUND(Source!AX202,O209)</f>
        <v>0</v>
      </c>
      <c r="G209" s="4" t="s">
        <v>89</v>
      </c>
      <c r="H209" s="4" t="s">
        <v>90</v>
      </c>
      <c r="I209" s="4"/>
      <c r="J209" s="4"/>
      <c r="K209" s="4">
        <v>227</v>
      </c>
      <c r="L209" s="4">
        <v>6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ht="12.75">
      <c r="A210" s="4">
        <v>50</v>
      </c>
      <c r="B210" s="4">
        <v>0</v>
      </c>
      <c r="C210" s="4">
        <v>0</v>
      </c>
      <c r="D210" s="4">
        <v>1</v>
      </c>
      <c r="E210" s="4">
        <v>228</v>
      </c>
      <c r="F210" s="4">
        <f>ROUND(Source!AY202,O210)</f>
        <v>66064.66</v>
      </c>
      <c r="G210" s="4" t="s">
        <v>91</v>
      </c>
      <c r="H210" s="4" t="s">
        <v>92</v>
      </c>
      <c r="I210" s="4"/>
      <c r="J210" s="4"/>
      <c r="K210" s="4">
        <v>228</v>
      </c>
      <c r="L210" s="4">
        <v>7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ht="12.75">
      <c r="A211" s="4">
        <v>50</v>
      </c>
      <c r="B211" s="4">
        <v>0</v>
      </c>
      <c r="C211" s="4">
        <v>0</v>
      </c>
      <c r="D211" s="4">
        <v>1</v>
      </c>
      <c r="E211" s="4">
        <v>216</v>
      </c>
      <c r="F211" s="4">
        <f>ROUND(Source!AP202,O211)</f>
        <v>0</v>
      </c>
      <c r="G211" s="4" t="s">
        <v>93</v>
      </c>
      <c r="H211" s="4" t="s">
        <v>94</v>
      </c>
      <c r="I211" s="4"/>
      <c r="J211" s="4"/>
      <c r="K211" s="4">
        <v>216</v>
      </c>
      <c r="L211" s="4">
        <v>8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ht="12.75">
      <c r="A212" s="4">
        <v>50</v>
      </c>
      <c r="B212" s="4">
        <v>0</v>
      </c>
      <c r="C212" s="4">
        <v>0</v>
      </c>
      <c r="D212" s="4">
        <v>1</v>
      </c>
      <c r="E212" s="4">
        <v>223</v>
      </c>
      <c r="F212" s="4">
        <f>ROUND(Source!AQ202,O212)</f>
        <v>0</v>
      </c>
      <c r="G212" s="4" t="s">
        <v>95</v>
      </c>
      <c r="H212" s="4" t="s">
        <v>96</v>
      </c>
      <c r="I212" s="4"/>
      <c r="J212" s="4"/>
      <c r="K212" s="4">
        <v>223</v>
      </c>
      <c r="L212" s="4">
        <v>9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ht="12.75">
      <c r="A213" s="4">
        <v>50</v>
      </c>
      <c r="B213" s="4">
        <v>0</v>
      </c>
      <c r="C213" s="4">
        <v>0</v>
      </c>
      <c r="D213" s="4">
        <v>1</v>
      </c>
      <c r="E213" s="4">
        <v>229</v>
      </c>
      <c r="F213" s="4">
        <f>ROUND(Source!AZ202,O213)</f>
        <v>0</v>
      </c>
      <c r="G213" s="4" t="s">
        <v>97</v>
      </c>
      <c r="H213" s="4" t="s">
        <v>98</v>
      </c>
      <c r="I213" s="4"/>
      <c r="J213" s="4"/>
      <c r="K213" s="4">
        <v>229</v>
      </c>
      <c r="L213" s="4">
        <v>10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ht="12.75">
      <c r="A214" s="4">
        <v>50</v>
      </c>
      <c r="B214" s="4">
        <v>0</v>
      </c>
      <c r="C214" s="4">
        <v>0</v>
      </c>
      <c r="D214" s="4">
        <v>1</v>
      </c>
      <c r="E214" s="4">
        <v>203</v>
      </c>
      <c r="F214" s="4">
        <f>ROUND(Source!Q202,O214)</f>
        <v>1781.51</v>
      </c>
      <c r="G214" s="4" t="s">
        <v>99</v>
      </c>
      <c r="H214" s="4" t="s">
        <v>100</v>
      </c>
      <c r="I214" s="4"/>
      <c r="J214" s="4"/>
      <c r="K214" s="4">
        <v>203</v>
      </c>
      <c r="L214" s="4">
        <v>11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ht="12.75">
      <c r="A215" s="4">
        <v>50</v>
      </c>
      <c r="B215" s="4">
        <v>0</v>
      </c>
      <c r="C215" s="4">
        <v>0</v>
      </c>
      <c r="D215" s="4">
        <v>1</v>
      </c>
      <c r="E215" s="4">
        <v>231</v>
      </c>
      <c r="F215" s="4">
        <f>ROUND(Source!BB202,O215)</f>
        <v>0</v>
      </c>
      <c r="G215" s="4" t="s">
        <v>101</v>
      </c>
      <c r="H215" s="4" t="s">
        <v>102</v>
      </c>
      <c r="I215" s="4"/>
      <c r="J215" s="4"/>
      <c r="K215" s="4">
        <v>231</v>
      </c>
      <c r="L215" s="4">
        <v>12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ht="12.75">
      <c r="A216" s="4">
        <v>50</v>
      </c>
      <c r="B216" s="4">
        <v>0</v>
      </c>
      <c r="C216" s="4">
        <v>0</v>
      </c>
      <c r="D216" s="4">
        <v>1</v>
      </c>
      <c r="E216" s="4">
        <v>204</v>
      </c>
      <c r="F216" s="4">
        <f>ROUND(Source!R202,O216)</f>
        <v>110.66</v>
      </c>
      <c r="G216" s="4" t="s">
        <v>103</v>
      </c>
      <c r="H216" s="4" t="s">
        <v>104</v>
      </c>
      <c r="I216" s="4"/>
      <c r="J216" s="4"/>
      <c r="K216" s="4">
        <v>204</v>
      </c>
      <c r="L216" s="4">
        <v>13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ht="12.75">
      <c r="A217" s="4">
        <v>50</v>
      </c>
      <c r="B217" s="4">
        <v>0</v>
      </c>
      <c r="C217" s="4">
        <v>0</v>
      </c>
      <c r="D217" s="4">
        <v>1</v>
      </c>
      <c r="E217" s="4">
        <v>205</v>
      </c>
      <c r="F217" s="4">
        <f>ROUND(Source!S202,O217)</f>
        <v>20688.08</v>
      </c>
      <c r="G217" s="4" t="s">
        <v>105</v>
      </c>
      <c r="H217" s="4" t="s">
        <v>106</v>
      </c>
      <c r="I217" s="4"/>
      <c r="J217" s="4"/>
      <c r="K217" s="4">
        <v>205</v>
      </c>
      <c r="L217" s="4">
        <v>14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ht="12.75">
      <c r="A218" s="4">
        <v>50</v>
      </c>
      <c r="B218" s="4">
        <v>0</v>
      </c>
      <c r="C218" s="4">
        <v>0</v>
      </c>
      <c r="D218" s="4">
        <v>1</v>
      </c>
      <c r="E218" s="4">
        <v>232</v>
      </c>
      <c r="F218" s="4">
        <f>ROUND(Source!BC202,O218)</f>
        <v>0</v>
      </c>
      <c r="G218" s="4" t="s">
        <v>107</v>
      </c>
      <c r="H218" s="4" t="s">
        <v>108</v>
      </c>
      <c r="I218" s="4"/>
      <c r="J218" s="4"/>
      <c r="K218" s="4">
        <v>232</v>
      </c>
      <c r="L218" s="4">
        <v>15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ht="12.75">
      <c r="A219" s="4">
        <v>50</v>
      </c>
      <c r="B219" s="4">
        <v>0</v>
      </c>
      <c r="C219" s="4">
        <v>0</v>
      </c>
      <c r="D219" s="4">
        <v>1</v>
      </c>
      <c r="E219" s="4">
        <v>214</v>
      </c>
      <c r="F219" s="4">
        <f>ROUND(Source!AS202,O219)</f>
        <v>126172.31</v>
      </c>
      <c r="G219" s="4" t="s">
        <v>109</v>
      </c>
      <c r="H219" s="4" t="s">
        <v>110</v>
      </c>
      <c r="I219" s="4"/>
      <c r="J219" s="4"/>
      <c r="K219" s="4">
        <v>214</v>
      </c>
      <c r="L219" s="4">
        <v>16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ht="12.75">
      <c r="A220" s="4">
        <v>50</v>
      </c>
      <c r="B220" s="4">
        <v>0</v>
      </c>
      <c r="C220" s="4">
        <v>0</v>
      </c>
      <c r="D220" s="4">
        <v>1</v>
      </c>
      <c r="E220" s="4">
        <v>215</v>
      </c>
      <c r="F220" s="4">
        <f>ROUND(Source!AT202,O220)</f>
        <v>0</v>
      </c>
      <c r="G220" s="4" t="s">
        <v>111</v>
      </c>
      <c r="H220" s="4" t="s">
        <v>112</v>
      </c>
      <c r="I220" s="4"/>
      <c r="J220" s="4"/>
      <c r="K220" s="4">
        <v>215</v>
      </c>
      <c r="L220" s="4">
        <v>17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ht="12.75">
      <c r="A221" s="4">
        <v>50</v>
      </c>
      <c r="B221" s="4">
        <v>0</v>
      </c>
      <c r="C221" s="4">
        <v>0</v>
      </c>
      <c r="D221" s="4">
        <v>1</v>
      </c>
      <c r="E221" s="4">
        <v>217</v>
      </c>
      <c r="F221" s="4">
        <f>ROUND(Source!AU202,O221)</f>
        <v>0</v>
      </c>
      <c r="G221" s="4" t="s">
        <v>113</v>
      </c>
      <c r="H221" s="4" t="s">
        <v>114</v>
      </c>
      <c r="I221" s="4"/>
      <c r="J221" s="4"/>
      <c r="K221" s="4">
        <v>217</v>
      </c>
      <c r="L221" s="4">
        <v>18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3" ht="12.75">
      <c r="A222" s="4">
        <v>50</v>
      </c>
      <c r="B222" s="4">
        <v>0</v>
      </c>
      <c r="C222" s="4">
        <v>0</v>
      </c>
      <c r="D222" s="4">
        <v>1</v>
      </c>
      <c r="E222" s="4">
        <v>230</v>
      </c>
      <c r="F222" s="4">
        <f>ROUND(Source!BA202,O222)</f>
        <v>0</v>
      </c>
      <c r="G222" s="4" t="s">
        <v>115</v>
      </c>
      <c r="H222" s="4" t="s">
        <v>116</v>
      </c>
      <c r="I222" s="4"/>
      <c r="J222" s="4"/>
      <c r="K222" s="4">
        <v>230</v>
      </c>
      <c r="L222" s="4">
        <v>19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3" ht="12.75">
      <c r="A223" s="4">
        <v>50</v>
      </c>
      <c r="B223" s="4">
        <v>0</v>
      </c>
      <c r="C223" s="4">
        <v>0</v>
      </c>
      <c r="D223" s="4">
        <v>1</v>
      </c>
      <c r="E223" s="4">
        <v>206</v>
      </c>
      <c r="F223" s="4">
        <f>ROUND(Source!T202,O223)</f>
        <v>0</v>
      </c>
      <c r="G223" s="4" t="s">
        <v>117</v>
      </c>
      <c r="H223" s="4" t="s">
        <v>118</v>
      </c>
      <c r="I223" s="4"/>
      <c r="J223" s="4"/>
      <c r="K223" s="4">
        <v>206</v>
      </c>
      <c r="L223" s="4">
        <v>20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3" ht="12.75">
      <c r="A224" s="4">
        <v>50</v>
      </c>
      <c r="B224" s="4">
        <v>0</v>
      </c>
      <c r="C224" s="4">
        <v>0</v>
      </c>
      <c r="D224" s="4">
        <v>1</v>
      </c>
      <c r="E224" s="4">
        <v>207</v>
      </c>
      <c r="F224" s="4">
        <f>Source!U202</f>
        <v>124.63892624999997</v>
      </c>
      <c r="G224" s="4" t="s">
        <v>119</v>
      </c>
      <c r="H224" s="4" t="s">
        <v>120</v>
      </c>
      <c r="I224" s="4"/>
      <c r="J224" s="4"/>
      <c r="K224" s="4">
        <v>207</v>
      </c>
      <c r="L224" s="4">
        <v>21</v>
      </c>
      <c r="M224" s="4">
        <v>3</v>
      </c>
      <c r="N224" s="4" t="s">
        <v>3</v>
      </c>
      <c r="O224" s="4">
        <v>-1</v>
      </c>
      <c r="P224" s="4"/>
      <c r="Q224" s="4"/>
      <c r="R224" s="4"/>
      <c r="S224" s="4"/>
      <c r="T224" s="4"/>
      <c r="U224" s="4"/>
      <c r="V224" s="4"/>
      <c r="W224" s="4"/>
    </row>
    <row r="225" spans="1:23" ht="12.75">
      <c r="A225" s="4">
        <v>50</v>
      </c>
      <c r="B225" s="4">
        <v>0</v>
      </c>
      <c r="C225" s="4">
        <v>0</v>
      </c>
      <c r="D225" s="4">
        <v>1</v>
      </c>
      <c r="E225" s="4">
        <v>208</v>
      </c>
      <c r="F225" s="4">
        <f>Source!V202</f>
        <v>0.4578749999999999</v>
      </c>
      <c r="G225" s="4" t="s">
        <v>121</v>
      </c>
      <c r="H225" s="4" t="s">
        <v>122</v>
      </c>
      <c r="I225" s="4"/>
      <c r="J225" s="4"/>
      <c r="K225" s="4">
        <v>208</v>
      </c>
      <c r="L225" s="4">
        <v>22</v>
      </c>
      <c r="M225" s="4">
        <v>3</v>
      </c>
      <c r="N225" s="4" t="s">
        <v>3</v>
      </c>
      <c r="O225" s="4">
        <v>-1</v>
      </c>
      <c r="P225" s="4"/>
      <c r="Q225" s="4"/>
      <c r="R225" s="4"/>
      <c r="S225" s="4"/>
      <c r="T225" s="4"/>
      <c r="U225" s="4"/>
      <c r="V225" s="4"/>
      <c r="W225" s="4"/>
    </row>
    <row r="226" spans="1:23" ht="12.75">
      <c r="A226" s="4">
        <v>50</v>
      </c>
      <c r="B226" s="4">
        <v>0</v>
      </c>
      <c r="C226" s="4">
        <v>0</v>
      </c>
      <c r="D226" s="4">
        <v>1</v>
      </c>
      <c r="E226" s="4">
        <v>209</v>
      </c>
      <c r="F226" s="4">
        <f>ROUND(Source!W202,O226)</f>
        <v>0</v>
      </c>
      <c r="G226" s="4" t="s">
        <v>123</v>
      </c>
      <c r="H226" s="4" t="s">
        <v>124</v>
      </c>
      <c r="I226" s="4"/>
      <c r="J226" s="4"/>
      <c r="K226" s="4">
        <v>209</v>
      </c>
      <c r="L226" s="4">
        <v>23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ht="12.75">
      <c r="A227" s="4">
        <v>50</v>
      </c>
      <c r="B227" s="4">
        <v>0</v>
      </c>
      <c r="C227" s="4">
        <v>0</v>
      </c>
      <c r="D227" s="4">
        <v>1</v>
      </c>
      <c r="E227" s="4">
        <v>210</v>
      </c>
      <c r="F227" s="4">
        <f>ROUND(Source!X202,O227)</f>
        <v>23599.72</v>
      </c>
      <c r="G227" s="4" t="s">
        <v>125</v>
      </c>
      <c r="H227" s="4" t="s">
        <v>126</v>
      </c>
      <c r="I227" s="4"/>
      <c r="J227" s="4"/>
      <c r="K227" s="4">
        <v>210</v>
      </c>
      <c r="L227" s="4">
        <v>24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ht="12.75">
      <c r="A228" s="4">
        <v>50</v>
      </c>
      <c r="B228" s="4">
        <v>0</v>
      </c>
      <c r="C228" s="4">
        <v>0</v>
      </c>
      <c r="D228" s="4">
        <v>1</v>
      </c>
      <c r="E228" s="4">
        <v>211</v>
      </c>
      <c r="F228" s="4">
        <f>ROUND(Source!Y202,O228)</f>
        <v>14038.34</v>
      </c>
      <c r="G228" s="4" t="s">
        <v>127</v>
      </c>
      <c r="H228" s="4" t="s">
        <v>128</v>
      </c>
      <c r="I228" s="4"/>
      <c r="J228" s="4"/>
      <c r="K228" s="4">
        <v>211</v>
      </c>
      <c r="L228" s="4">
        <v>25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ht="12.75">
      <c r="A229" s="4">
        <v>50</v>
      </c>
      <c r="B229" s="4">
        <v>0</v>
      </c>
      <c r="C229" s="4">
        <v>0</v>
      </c>
      <c r="D229" s="4">
        <v>1</v>
      </c>
      <c r="E229" s="4">
        <v>224</v>
      </c>
      <c r="F229" s="4">
        <f>ROUND(Source!AR202,O229)</f>
        <v>126172.31</v>
      </c>
      <c r="G229" s="4" t="s">
        <v>129</v>
      </c>
      <c r="H229" s="4" t="s">
        <v>130</v>
      </c>
      <c r="I229" s="4"/>
      <c r="J229" s="4"/>
      <c r="K229" s="4">
        <v>224</v>
      </c>
      <c r="L229" s="4">
        <v>26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ht="12.75">
      <c r="A230" s="4">
        <v>50</v>
      </c>
      <c r="B230" s="4">
        <v>1</v>
      </c>
      <c r="C230" s="4">
        <v>0</v>
      </c>
      <c r="D230" s="4">
        <v>2</v>
      </c>
      <c r="E230" s="4">
        <v>50227437</v>
      </c>
      <c r="F230" s="4">
        <f>ROUND((F208+(F214-F216)+F227*0.1712+F228*0.15)*0.18,O230)</f>
        <v>13298.676</v>
      </c>
      <c r="G230" s="4" t="s">
        <v>263</v>
      </c>
      <c r="H230" s="4" t="s">
        <v>264</v>
      </c>
      <c r="I230" s="4"/>
      <c r="J230" s="4"/>
      <c r="K230" s="4">
        <v>212</v>
      </c>
      <c r="L230" s="4">
        <v>27</v>
      </c>
      <c r="M230" s="4">
        <v>1</v>
      </c>
      <c r="N230" s="4" t="s">
        <v>3</v>
      </c>
      <c r="O230" s="4">
        <v>3</v>
      </c>
      <c r="P230" s="4"/>
      <c r="Q230" s="4"/>
      <c r="R230" s="4"/>
      <c r="S230" s="4"/>
      <c r="T230" s="4"/>
      <c r="U230" s="4"/>
      <c r="V230" s="4"/>
      <c r="W230" s="4"/>
    </row>
    <row r="231" spans="1:23" ht="12.75">
      <c r="A231" s="4">
        <v>50</v>
      </c>
      <c r="B231" s="4">
        <v>1</v>
      </c>
      <c r="C231" s="4">
        <v>0</v>
      </c>
      <c r="D231" s="4">
        <v>2</v>
      </c>
      <c r="E231" s="4">
        <v>213</v>
      </c>
      <c r="F231" s="4">
        <f>ROUND(F229+F230,O231)</f>
        <v>139470.986</v>
      </c>
      <c r="G231" s="4" t="s">
        <v>265</v>
      </c>
      <c r="H231" s="4" t="s">
        <v>266</v>
      </c>
      <c r="I231" s="4"/>
      <c r="J231" s="4"/>
      <c r="K231" s="4">
        <v>212</v>
      </c>
      <c r="L231" s="4">
        <v>28</v>
      </c>
      <c r="M231" s="4">
        <v>1</v>
      </c>
      <c r="N231" s="4" t="s">
        <v>3</v>
      </c>
      <c r="O231" s="4">
        <v>3</v>
      </c>
      <c r="P231" s="4"/>
      <c r="Q231" s="4"/>
      <c r="R231" s="4"/>
      <c r="S231" s="4"/>
      <c r="T231" s="4"/>
      <c r="U231" s="4"/>
      <c r="V231" s="4"/>
      <c r="W231" s="4"/>
    </row>
    <row r="233" spans="1:206" ht="12.75">
      <c r="A233" s="2">
        <v>51</v>
      </c>
      <c r="B233" s="2">
        <f>B67</f>
        <v>1</v>
      </c>
      <c r="C233" s="2">
        <f>A67</f>
        <v>4</v>
      </c>
      <c r="D233" s="2">
        <f>ROW(A67)</f>
        <v>67</v>
      </c>
      <c r="E233" s="2"/>
      <c r="F233" s="2" t="str">
        <f>IF(F67&lt;&gt;"",F67,"")</f>
        <v>Новый раздел</v>
      </c>
      <c r="G233" s="2" t="str">
        <f>IF(G67&lt;&gt;"",G67,"")</f>
        <v>2. Строительные работы</v>
      </c>
      <c r="H233" s="2">
        <v>0</v>
      </c>
      <c r="I233" s="2"/>
      <c r="J233" s="2"/>
      <c r="K233" s="2"/>
      <c r="L233" s="2"/>
      <c r="M233" s="2"/>
      <c r="N233" s="2"/>
      <c r="O233" s="2">
        <f aca="true" t="shared" si="201" ref="O233:T233">ROUND(O101+O145+O202+AB233,2)</f>
        <v>3505223.88</v>
      </c>
      <c r="P233" s="2">
        <f t="shared" si="201"/>
        <v>2598513.28</v>
      </c>
      <c r="Q233" s="2">
        <f t="shared" si="201"/>
        <v>89646.42</v>
      </c>
      <c r="R233" s="2">
        <f t="shared" si="201"/>
        <v>9626.74</v>
      </c>
      <c r="S233" s="2">
        <f t="shared" si="201"/>
        <v>817064.18</v>
      </c>
      <c r="T233" s="2">
        <f t="shared" si="201"/>
        <v>0</v>
      </c>
      <c r="U233" s="2">
        <f>U101+U145+U202+AH233</f>
        <v>4914.045113749999</v>
      </c>
      <c r="V233" s="2">
        <f>V101+V145+V202+AI233</f>
        <v>39.961</v>
      </c>
      <c r="W233" s="2">
        <f>ROUND(W101+W145+W202+AJ233,2)</f>
        <v>0</v>
      </c>
      <c r="X233" s="2">
        <f>ROUND(X101+X145+X202+AK233,2)</f>
        <v>861261.29</v>
      </c>
      <c r="Y233" s="2">
        <f>ROUND(Y101+Y145+Y202+AL233,2)</f>
        <v>481189.1</v>
      </c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>
        <f aca="true" t="shared" si="202" ref="AO233:BC233">ROUND(AO101+AO145+AO202+BX233,2)</f>
        <v>0</v>
      </c>
      <c r="AP233" s="2">
        <f t="shared" si="202"/>
        <v>0</v>
      </c>
      <c r="AQ233" s="2">
        <f t="shared" si="202"/>
        <v>0</v>
      </c>
      <c r="AR233" s="2">
        <f t="shared" si="202"/>
        <v>4847674.27</v>
      </c>
      <c r="AS233" s="2">
        <f t="shared" si="202"/>
        <v>4620010.41</v>
      </c>
      <c r="AT233" s="2">
        <f t="shared" si="202"/>
        <v>890.57</v>
      </c>
      <c r="AU233" s="2">
        <f t="shared" si="202"/>
        <v>226773.29</v>
      </c>
      <c r="AV233" s="2">
        <f t="shared" si="202"/>
        <v>2598513.28</v>
      </c>
      <c r="AW233" s="2">
        <f t="shared" si="202"/>
        <v>2598513.28</v>
      </c>
      <c r="AX233" s="2">
        <f t="shared" si="202"/>
        <v>0</v>
      </c>
      <c r="AY233" s="2">
        <f t="shared" si="202"/>
        <v>2598513.28</v>
      </c>
      <c r="AZ233" s="2">
        <f t="shared" si="202"/>
        <v>0</v>
      </c>
      <c r="BA233" s="2">
        <f t="shared" si="202"/>
        <v>0</v>
      </c>
      <c r="BB233" s="2">
        <f t="shared" si="202"/>
        <v>0</v>
      </c>
      <c r="BC233" s="2">
        <f t="shared" si="202"/>
        <v>0</v>
      </c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>
        <v>0</v>
      </c>
    </row>
    <row r="235" spans="1:23" ht="12.75">
      <c r="A235" s="4">
        <v>50</v>
      </c>
      <c r="B235" s="4">
        <v>0</v>
      </c>
      <c r="C235" s="4">
        <v>0</v>
      </c>
      <c r="D235" s="4">
        <v>1</v>
      </c>
      <c r="E235" s="4">
        <v>201</v>
      </c>
      <c r="F235" s="4">
        <f>ROUND(Source!O233,O235)</f>
        <v>3505223.88</v>
      </c>
      <c r="G235" s="4" t="s">
        <v>79</v>
      </c>
      <c r="H235" s="4" t="s">
        <v>80</v>
      </c>
      <c r="I235" s="4"/>
      <c r="J235" s="4"/>
      <c r="K235" s="4">
        <v>201</v>
      </c>
      <c r="L235" s="4">
        <v>1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ht="12.75">
      <c r="A236" s="4">
        <v>50</v>
      </c>
      <c r="B236" s="4">
        <v>0</v>
      </c>
      <c r="C236" s="4">
        <v>0</v>
      </c>
      <c r="D236" s="4">
        <v>1</v>
      </c>
      <c r="E236" s="4">
        <v>202</v>
      </c>
      <c r="F236" s="4">
        <f>ROUND(Source!P233,O236)</f>
        <v>2598513.28</v>
      </c>
      <c r="G236" s="4" t="s">
        <v>81</v>
      </c>
      <c r="H236" s="4" t="s">
        <v>82</v>
      </c>
      <c r="I236" s="4"/>
      <c r="J236" s="4"/>
      <c r="K236" s="4">
        <v>202</v>
      </c>
      <c r="L236" s="4">
        <v>2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ht="12.75">
      <c r="A237" s="4">
        <v>50</v>
      </c>
      <c r="B237" s="4">
        <v>0</v>
      </c>
      <c r="C237" s="4">
        <v>0</v>
      </c>
      <c r="D237" s="4">
        <v>1</v>
      </c>
      <c r="E237" s="4">
        <v>222</v>
      </c>
      <c r="F237" s="4">
        <f>ROUND(Source!AO233,O237)</f>
        <v>0</v>
      </c>
      <c r="G237" s="4" t="s">
        <v>83</v>
      </c>
      <c r="H237" s="4" t="s">
        <v>84</v>
      </c>
      <c r="I237" s="4"/>
      <c r="J237" s="4"/>
      <c r="K237" s="4">
        <v>222</v>
      </c>
      <c r="L237" s="4">
        <v>3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ht="12.75">
      <c r="A238" s="4">
        <v>50</v>
      </c>
      <c r="B238" s="4">
        <v>0</v>
      </c>
      <c r="C238" s="4">
        <v>0</v>
      </c>
      <c r="D238" s="4">
        <v>1</v>
      </c>
      <c r="E238" s="4">
        <v>225</v>
      </c>
      <c r="F238" s="4">
        <f>ROUND(Source!AV233,O238)</f>
        <v>2598513.28</v>
      </c>
      <c r="G238" s="4" t="s">
        <v>85</v>
      </c>
      <c r="H238" s="4" t="s">
        <v>86</v>
      </c>
      <c r="I238" s="4"/>
      <c r="J238" s="4"/>
      <c r="K238" s="4">
        <v>225</v>
      </c>
      <c r="L238" s="4">
        <v>4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ht="12.75">
      <c r="A239" s="4">
        <v>50</v>
      </c>
      <c r="B239" s="4">
        <v>0</v>
      </c>
      <c r="C239" s="4">
        <v>0</v>
      </c>
      <c r="D239" s="4">
        <v>1</v>
      </c>
      <c r="E239" s="4">
        <v>226</v>
      </c>
      <c r="F239" s="4">
        <f>ROUND(Source!AW233,O239)</f>
        <v>2598513.28</v>
      </c>
      <c r="G239" s="4" t="s">
        <v>87</v>
      </c>
      <c r="H239" s="4" t="s">
        <v>88</v>
      </c>
      <c r="I239" s="4"/>
      <c r="J239" s="4"/>
      <c r="K239" s="4">
        <v>226</v>
      </c>
      <c r="L239" s="4">
        <v>5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ht="12.75">
      <c r="A240" s="4">
        <v>50</v>
      </c>
      <c r="B240" s="4">
        <v>0</v>
      </c>
      <c r="C240" s="4">
        <v>0</v>
      </c>
      <c r="D240" s="4">
        <v>1</v>
      </c>
      <c r="E240" s="4">
        <v>227</v>
      </c>
      <c r="F240" s="4">
        <f>ROUND(Source!AX233,O240)</f>
        <v>0</v>
      </c>
      <c r="G240" s="4" t="s">
        <v>89</v>
      </c>
      <c r="H240" s="4" t="s">
        <v>90</v>
      </c>
      <c r="I240" s="4"/>
      <c r="J240" s="4"/>
      <c r="K240" s="4">
        <v>227</v>
      </c>
      <c r="L240" s="4">
        <v>6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ht="12.75">
      <c r="A241" s="4">
        <v>50</v>
      </c>
      <c r="B241" s="4">
        <v>0</v>
      </c>
      <c r="C241" s="4">
        <v>0</v>
      </c>
      <c r="D241" s="4">
        <v>1</v>
      </c>
      <c r="E241" s="4">
        <v>228</v>
      </c>
      <c r="F241" s="4">
        <f>ROUND(Source!AY233,O241)</f>
        <v>2598513.28</v>
      </c>
      <c r="G241" s="4" t="s">
        <v>91</v>
      </c>
      <c r="H241" s="4" t="s">
        <v>92</v>
      </c>
      <c r="I241" s="4"/>
      <c r="J241" s="4"/>
      <c r="K241" s="4">
        <v>228</v>
      </c>
      <c r="L241" s="4">
        <v>7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ht="12.75">
      <c r="A242" s="4">
        <v>50</v>
      </c>
      <c r="B242" s="4">
        <v>0</v>
      </c>
      <c r="C242" s="4">
        <v>0</v>
      </c>
      <c r="D242" s="4">
        <v>1</v>
      </c>
      <c r="E242" s="4">
        <v>216</v>
      </c>
      <c r="F242" s="4">
        <f>ROUND(Source!AP233,O242)</f>
        <v>0</v>
      </c>
      <c r="G242" s="4" t="s">
        <v>93</v>
      </c>
      <c r="H242" s="4" t="s">
        <v>94</v>
      </c>
      <c r="I242" s="4"/>
      <c r="J242" s="4"/>
      <c r="K242" s="4">
        <v>216</v>
      </c>
      <c r="L242" s="4">
        <v>8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ht="12.75">
      <c r="A243" s="4">
        <v>50</v>
      </c>
      <c r="B243" s="4">
        <v>0</v>
      </c>
      <c r="C243" s="4">
        <v>0</v>
      </c>
      <c r="D243" s="4">
        <v>1</v>
      </c>
      <c r="E243" s="4">
        <v>223</v>
      </c>
      <c r="F243" s="4">
        <f>ROUND(Source!AQ233,O243)</f>
        <v>0</v>
      </c>
      <c r="G243" s="4" t="s">
        <v>95</v>
      </c>
      <c r="H243" s="4" t="s">
        <v>96</v>
      </c>
      <c r="I243" s="4"/>
      <c r="J243" s="4"/>
      <c r="K243" s="4">
        <v>223</v>
      </c>
      <c r="L243" s="4">
        <v>9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ht="12.75">
      <c r="A244" s="4">
        <v>50</v>
      </c>
      <c r="B244" s="4">
        <v>0</v>
      </c>
      <c r="C244" s="4">
        <v>0</v>
      </c>
      <c r="D244" s="4">
        <v>1</v>
      </c>
      <c r="E244" s="4">
        <v>229</v>
      </c>
      <c r="F244" s="4">
        <f>ROUND(Source!AZ233,O244)</f>
        <v>0</v>
      </c>
      <c r="G244" s="4" t="s">
        <v>97</v>
      </c>
      <c r="H244" s="4" t="s">
        <v>98</v>
      </c>
      <c r="I244" s="4"/>
      <c r="J244" s="4"/>
      <c r="K244" s="4">
        <v>229</v>
      </c>
      <c r="L244" s="4">
        <v>10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ht="12.75">
      <c r="A245" s="4">
        <v>50</v>
      </c>
      <c r="B245" s="4">
        <v>0</v>
      </c>
      <c r="C245" s="4">
        <v>0</v>
      </c>
      <c r="D245" s="4">
        <v>1</v>
      </c>
      <c r="E245" s="4">
        <v>203</v>
      </c>
      <c r="F245" s="4">
        <f>ROUND(Source!Q233,O245)</f>
        <v>89646.42</v>
      </c>
      <c r="G245" s="4" t="s">
        <v>99</v>
      </c>
      <c r="H245" s="4" t="s">
        <v>100</v>
      </c>
      <c r="I245" s="4"/>
      <c r="J245" s="4"/>
      <c r="K245" s="4">
        <v>203</v>
      </c>
      <c r="L245" s="4">
        <v>11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ht="12.75">
      <c r="A246" s="4">
        <v>50</v>
      </c>
      <c r="B246" s="4">
        <v>0</v>
      </c>
      <c r="C246" s="4">
        <v>0</v>
      </c>
      <c r="D246" s="4">
        <v>1</v>
      </c>
      <c r="E246" s="4">
        <v>231</v>
      </c>
      <c r="F246" s="4">
        <f>ROUND(Source!BB233,O246)</f>
        <v>0</v>
      </c>
      <c r="G246" s="4" t="s">
        <v>101</v>
      </c>
      <c r="H246" s="4" t="s">
        <v>102</v>
      </c>
      <c r="I246" s="4"/>
      <c r="J246" s="4"/>
      <c r="K246" s="4">
        <v>231</v>
      </c>
      <c r="L246" s="4">
        <v>12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ht="12.75">
      <c r="A247" s="4">
        <v>50</v>
      </c>
      <c r="B247" s="4">
        <v>0</v>
      </c>
      <c r="C247" s="4">
        <v>0</v>
      </c>
      <c r="D247" s="4">
        <v>1</v>
      </c>
      <c r="E247" s="4">
        <v>204</v>
      </c>
      <c r="F247" s="4">
        <f>ROUND(Source!R233,O247)</f>
        <v>9626.74</v>
      </c>
      <c r="G247" s="4" t="s">
        <v>103</v>
      </c>
      <c r="H247" s="4" t="s">
        <v>104</v>
      </c>
      <c r="I247" s="4"/>
      <c r="J247" s="4"/>
      <c r="K247" s="4">
        <v>204</v>
      </c>
      <c r="L247" s="4">
        <v>13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ht="12.75">
      <c r="A248" s="4">
        <v>50</v>
      </c>
      <c r="B248" s="4">
        <v>0</v>
      </c>
      <c r="C248" s="4">
        <v>0</v>
      </c>
      <c r="D248" s="4">
        <v>1</v>
      </c>
      <c r="E248" s="4">
        <v>205</v>
      </c>
      <c r="F248" s="4">
        <f>ROUND(Source!S233,O248)</f>
        <v>817064.18</v>
      </c>
      <c r="G248" s="4" t="s">
        <v>105</v>
      </c>
      <c r="H248" s="4" t="s">
        <v>106</v>
      </c>
      <c r="I248" s="4"/>
      <c r="J248" s="4"/>
      <c r="K248" s="4">
        <v>205</v>
      </c>
      <c r="L248" s="4">
        <v>14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ht="12.75">
      <c r="A249" s="4">
        <v>50</v>
      </c>
      <c r="B249" s="4">
        <v>0</v>
      </c>
      <c r="C249" s="4">
        <v>0</v>
      </c>
      <c r="D249" s="4">
        <v>1</v>
      </c>
      <c r="E249" s="4">
        <v>232</v>
      </c>
      <c r="F249" s="4">
        <f>ROUND(Source!BC233,O249)</f>
        <v>0</v>
      </c>
      <c r="G249" s="4" t="s">
        <v>107</v>
      </c>
      <c r="H249" s="4" t="s">
        <v>108</v>
      </c>
      <c r="I249" s="4"/>
      <c r="J249" s="4"/>
      <c r="K249" s="4">
        <v>232</v>
      </c>
      <c r="L249" s="4">
        <v>15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ht="12.75">
      <c r="A250" s="4">
        <v>50</v>
      </c>
      <c r="B250" s="4">
        <v>0</v>
      </c>
      <c r="C250" s="4">
        <v>0</v>
      </c>
      <c r="D250" s="4">
        <v>1</v>
      </c>
      <c r="E250" s="4">
        <v>214</v>
      </c>
      <c r="F250" s="4">
        <f>ROUND(Source!AS233,O250)</f>
        <v>4620010.41</v>
      </c>
      <c r="G250" s="4" t="s">
        <v>109</v>
      </c>
      <c r="H250" s="4" t="s">
        <v>110</v>
      </c>
      <c r="I250" s="4"/>
      <c r="J250" s="4"/>
      <c r="K250" s="4">
        <v>214</v>
      </c>
      <c r="L250" s="4">
        <v>16</v>
      </c>
      <c r="M250" s="4">
        <v>3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 ht="12.75">
      <c r="A251" s="4">
        <v>50</v>
      </c>
      <c r="B251" s="4">
        <v>0</v>
      </c>
      <c r="C251" s="4">
        <v>0</v>
      </c>
      <c r="D251" s="4">
        <v>1</v>
      </c>
      <c r="E251" s="4">
        <v>215</v>
      </c>
      <c r="F251" s="4">
        <f>ROUND(Source!AT233,O251)</f>
        <v>890.57</v>
      </c>
      <c r="G251" s="4" t="s">
        <v>111</v>
      </c>
      <c r="H251" s="4" t="s">
        <v>112</v>
      </c>
      <c r="I251" s="4"/>
      <c r="J251" s="4"/>
      <c r="K251" s="4">
        <v>215</v>
      </c>
      <c r="L251" s="4">
        <v>17</v>
      </c>
      <c r="M251" s="4">
        <v>3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3" ht="12.75">
      <c r="A252" s="4">
        <v>50</v>
      </c>
      <c r="B252" s="4">
        <v>0</v>
      </c>
      <c r="C252" s="4">
        <v>0</v>
      </c>
      <c r="D252" s="4">
        <v>1</v>
      </c>
      <c r="E252" s="4">
        <v>217</v>
      </c>
      <c r="F252" s="4">
        <f>ROUND(Source!AU233,O252)</f>
        <v>226773.29</v>
      </c>
      <c r="G252" s="4" t="s">
        <v>113</v>
      </c>
      <c r="H252" s="4" t="s">
        <v>114</v>
      </c>
      <c r="I252" s="4"/>
      <c r="J252" s="4"/>
      <c r="K252" s="4">
        <v>217</v>
      </c>
      <c r="L252" s="4">
        <v>18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3" ht="12.75">
      <c r="A253" s="4">
        <v>50</v>
      </c>
      <c r="B253" s="4">
        <v>0</v>
      </c>
      <c r="C253" s="4">
        <v>0</v>
      </c>
      <c r="D253" s="4">
        <v>1</v>
      </c>
      <c r="E253" s="4">
        <v>230</v>
      </c>
      <c r="F253" s="4">
        <f>ROUND(Source!BA233,O253)</f>
        <v>0</v>
      </c>
      <c r="G253" s="4" t="s">
        <v>115</v>
      </c>
      <c r="H253" s="4" t="s">
        <v>116</v>
      </c>
      <c r="I253" s="4"/>
      <c r="J253" s="4"/>
      <c r="K253" s="4">
        <v>230</v>
      </c>
      <c r="L253" s="4">
        <v>19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3" ht="12.75">
      <c r="A254" s="4">
        <v>50</v>
      </c>
      <c r="B254" s="4">
        <v>0</v>
      </c>
      <c r="C254" s="4">
        <v>0</v>
      </c>
      <c r="D254" s="4">
        <v>1</v>
      </c>
      <c r="E254" s="4">
        <v>206</v>
      </c>
      <c r="F254" s="4">
        <f>ROUND(Source!T233,O254)</f>
        <v>0</v>
      </c>
      <c r="G254" s="4" t="s">
        <v>117</v>
      </c>
      <c r="H254" s="4" t="s">
        <v>118</v>
      </c>
      <c r="I254" s="4"/>
      <c r="J254" s="4"/>
      <c r="K254" s="4">
        <v>206</v>
      </c>
      <c r="L254" s="4">
        <v>20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 ht="12.75">
      <c r="A255" s="4">
        <v>50</v>
      </c>
      <c r="B255" s="4">
        <v>0</v>
      </c>
      <c r="C255" s="4">
        <v>0</v>
      </c>
      <c r="D255" s="4">
        <v>1</v>
      </c>
      <c r="E255" s="4">
        <v>207</v>
      </c>
      <c r="F255" s="4">
        <f>Source!U233</f>
        <v>4914.045113749999</v>
      </c>
      <c r="G255" s="4" t="s">
        <v>119</v>
      </c>
      <c r="H255" s="4" t="s">
        <v>120</v>
      </c>
      <c r="I255" s="4"/>
      <c r="J255" s="4"/>
      <c r="K255" s="4">
        <v>207</v>
      </c>
      <c r="L255" s="4">
        <v>21</v>
      </c>
      <c r="M255" s="4">
        <v>3</v>
      </c>
      <c r="N255" s="4" t="s">
        <v>3</v>
      </c>
      <c r="O255" s="4">
        <v>-1</v>
      </c>
      <c r="P255" s="4"/>
      <c r="Q255" s="4"/>
      <c r="R255" s="4"/>
      <c r="S255" s="4"/>
      <c r="T255" s="4"/>
      <c r="U255" s="4"/>
      <c r="V255" s="4"/>
      <c r="W255" s="4"/>
    </row>
    <row r="256" spans="1:23" ht="12.75">
      <c r="A256" s="4">
        <v>50</v>
      </c>
      <c r="B256" s="4">
        <v>0</v>
      </c>
      <c r="C256" s="4">
        <v>0</v>
      </c>
      <c r="D256" s="4">
        <v>1</v>
      </c>
      <c r="E256" s="4">
        <v>208</v>
      </c>
      <c r="F256" s="4">
        <f>Source!V233</f>
        <v>39.961</v>
      </c>
      <c r="G256" s="4" t="s">
        <v>121</v>
      </c>
      <c r="H256" s="4" t="s">
        <v>122</v>
      </c>
      <c r="I256" s="4"/>
      <c r="J256" s="4"/>
      <c r="K256" s="4">
        <v>208</v>
      </c>
      <c r="L256" s="4">
        <v>22</v>
      </c>
      <c r="M256" s="4">
        <v>3</v>
      </c>
      <c r="N256" s="4" t="s">
        <v>3</v>
      </c>
      <c r="O256" s="4">
        <v>-1</v>
      </c>
      <c r="P256" s="4"/>
      <c r="Q256" s="4"/>
      <c r="R256" s="4"/>
      <c r="S256" s="4"/>
      <c r="T256" s="4"/>
      <c r="U256" s="4"/>
      <c r="V256" s="4"/>
      <c r="W256" s="4"/>
    </row>
    <row r="257" spans="1:23" ht="12.75">
      <c r="A257" s="4">
        <v>50</v>
      </c>
      <c r="B257" s="4">
        <v>0</v>
      </c>
      <c r="C257" s="4">
        <v>0</v>
      </c>
      <c r="D257" s="4">
        <v>1</v>
      </c>
      <c r="E257" s="4">
        <v>209</v>
      </c>
      <c r="F257" s="4">
        <f>ROUND(Source!W233,O257)</f>
        <v>0</v>
      </c>
      <c r="G257" s="4" t="s">
        <v>123</v>
      </c>
      <c r="H257" s="4" t="s">
        <v>124</v>
      </c>
      <c r="I257" s="4"/>
      <c r="J257" s="4"/>
      <c r="K257" s="4">
        <v>209</v>
      </c>
      <c r="L257" s="4">
        <v>23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3" ht="12.75">
      <c r="A258" s="4">
        <v>50</v>
      </c>
      <c r="B258" s="4">
        <v>0</v>
      </c>
      <c r="C258" s="4">
        <v>0</v>
      </c>
      <c r="D258" s="4">
        <v>1</v>
      </c>
      <c r="E258" s="4">
        <v>210</v>
      </c>
      <c r="F258" s="4">
        <f>ROUND(Source!X233,O258)</f>
        <v>861261.29</v>
      </c>
      <c r="G258" s="4" t="s">
        <v>125</v>
      </c>
      <c r="H258" s="4" t="s">
        <v>126</v>
      </c>
      <c r="I258" s="4"/>
      <c r="J258" s="4"/>
      <c r="K258" s="4">
        <v>210</v>
      </c>
      <c r="L258" s="4">
        <v>24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/>
    </row>
    <row r="259" spans="1:23" ht="12.75">
      <c r="A259" s="4">
        <v>50</v>
      </c>
      <c r="B259" s="4">
        <v>0</v>
      </c>
      <c r="C259" s="4">
        <v>0</v>
      </c>
      <c r="D259" s="4">
        <v>1</v>
      </c>
      <c r="E259" s="4">
        <v>211</v>
      </c>
      <c r="F259" s="4">
        <f>ROUND(Source!Y233,O259)</f>
        <v>481189.1</v>
      </c>
      <c r="G259" s="4" t="s">
        <v>127</v>
      </c>
      <c r="H259" s="4" t="s">
        <v>128</v>
      </c>
      <c r="I259" s="4"/>
      <c r="J259" s="4"/>
      <c r="K259" s="4">
        <v>211</v>
      </c>
      <c r="L259" s="4">
        <v>25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/>
    </row>
    <row r="260" spans="1:23" ht="12.75">
      <c r="A260" s="4">
        <v>50</v>
      </c>
      <c r="B260" s="4">
        <v>0</v>
      </c>
      <c r="C260" s="4">
        <v>0</v>
      </c>
      <c r="D260" s="4">
        <v>1</v>
      </c>
      <c r="E260" s="4">
        <v>224</v>
      </c>
      <c r="F260" s="4">
        <f>ROUND(Source!AR233,O260)</f>
        <v>4847674.27</v>
      </c>
      <c r="G260" s="4" t="s">
        <v>129</v>
      </c>
      <c r="H260" s="4" t="s">
        <v>130</v>
      </c>
      <c r="I260" s="4"/>
      <c r="J260" s="4"/>
      <c r="K260" s="4">
        <v>224</v>
      </c>
      <c r="L260" s="4">
        <v>26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/>
    </row>
    <row r="262" spans="1:88" ht="12.75">
      <c r="A262" s="1">
        <v>4</v>
      </c>
      <c r="B262" s="1">
        <v>1</v>
      </c>
      <c r="C262" s="1"/>
      <c r="D262" s="1">
        <f>ROW(A269)</f>
        <v>269</v>
      </c>
      <c r="E262" s="1"/>
      <c r="F262" s="1" t="s">
        <v>11</v>
      </c>
      <c r="G262" s="1" t="s">
        <v>376</v>
      </c>
      <c r="H262" s="1" t="s">
        <v>3</v>
      </c>
      <c r="I262" s="1">
        <v>0</v>
      </c>
      <c r="J262" s="1"/>
      <c r="K262" s="1">
        <v>0</v>
      </c>
      <c r="L262" s="1"/>
      <c r="M262" s="1"/>
      <c r="N262" s="1"/>
      <c r="O262" s="1"/>
      <c r="P262" s="1"/>
      <c r="Q262" s="1"/>
      <c r="R262" s="1"/>
      <c r="S262" s="1"/>
      <c r="T262" s="1"/>
      <c r="U262" s="1" t="s">
        <v>3</v>
      </c>
      <c r="V262" s="1">
        <v>0</v>
      </c>
      <c r="W262" s="1"/>
      <c r="X262" s="1"/>
      <c r="Y262" s="1"/>
      <c r="Z262" s="1"/>
      <c r="AA262" s="1"/>
      <c r="AB262" s="1" t="s">
        <v>3</v>
      </c>
      <c r="AC262" s="1" t="s">
        <v>3</v>
      </c>
      <c r="AD262" s="1" t="s">
        <v>3</v>
      </c>
      <c r="AE262" s="1" t="s">
        <v>3</v>
      </c>
      <c r="AF262" s="1" t="s">
        <v>3</v>
      </c>
      <c r="AG262" s="1" t="s">
        <v>3</v>
      </c>
      <c r="AH262" s="1"/>
      <c r="AI262" s="1"/>
      <c r="AJ262" s="1"/>
      <c r="AK262" s="1"/>
      <c r="AL262" s="1"/>
      <c r="AM262" s="1"/>
      <c r="AN262" s="1"/>
      <c r="AO262" s="1"/>
      <c r="AP262" s="1" t="s">
        <v>3</v>
      </c>
      <c r="AQ262" s="1" t="s">
        <v>3</v>
      </c>
      <c r="AR262" s="1" t="s">
        <v>3</v>
      </c>
      <c r="AS262" s="1"/>
      <c r="AT262" s="1"/>
      <c r="AU262" s="1"/>
      <c r="AV262" s="1"/>
      <c r="AW262" s="1"/>
      <c r="AX262" s="1"/>
      <c r="AY262" s="1"/>
      <c r="AZ262" s="1" t="s">
        <v>3</v>
      </c>
      <c r="BA262" s="1"/>
      <c r="BB262" s="1" t="s">
        <v>3</v>
      </c>
      <c r="BC262" s="1" t="s">
        <v>3</v>
      </c>
      <c r="BD262" s="1" t="s">
        <v>3</v>
      </c>
      <c r="BE262" s="1" t="s">
        <v>3</v>
      </c>
      <c r="BF262" s="1" t="s">
        <v>3</v>
      </c>
      <c r="BG262" s="1" t="s">
        <v>3</v>
      </c>
      <c r="BH262" s="1" t="s">
        <v>3</v>
      </c>
      <c r="BI262" s="1" t="s">
        <v>3</v>
      </c>
      <c r="BJ262" s="1" t="s">
        <v>3</v>
      </c>
      <c r="BK262" s="1" t="s">
        <v>3</v>
      </c>
      <c r="BL262" s="1" t="s">
        <v>3</v>
      </c>
      <c r="BM262" s="1" t="s">
        <v>3</v>
      </c>
      <c r="BN262" s="1" t="s">
        <v>3</v>
      </c>
      <c r="BO262" s="1" t="s">
        <v>3</v>
      </c>
      <c r="BP262" s="1" t="s">
        <v>3</v>
      </c>
      <c r="BQ262" s="1"/>
      <c r="BR262" s="1"/>
      <c r="BS262" s="1"/>
      <c r="BT262" s="1"/>
      <c r="BU262" s="1"/>
      <c r="BV262" s="1"/>
      <c r="BW262" s="1"/>
      <c r="BX262" s="1">
        <v>0</v>
      </c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>
        <v>0</v>
      </c>
    </row>
    <row r="264" spans="1:206" ht="12.75">
      <c r="A264" s="2">
        <v>52</v>
      </c>
      <c r="B264" s="2">
        <f aca="true" t="shared" si="203" ref="B264:G264">B269</f>
        <v>1</v>
      </c>
      <c r="C264" s="2">
        <f t="shared" si="203"/>
        <v>4</v>
      </c>
      <c r="D264" s="2">
        <f t="shared" si="203"/>
        <v>262</v>
      </c>
      <c r="E264" s="2">
        <f t="shared" si="203"/>
        <v>0</v>
      </c>
      <c r="F264" s="2" t="str">
        <f t="shared" si="203"/>
        <v>Новый раздел</v>
      </c>
      <c r="G264" s="2" t="str">
        <f t="shared" si="203"/>
        <v>3. Погрузка и вывоз мусора</v>
      </c>
      <c r="H264" s="2"/>
      <c r="I264" s="2"/>
      <c r="J264" s="2"/>
      <c r="K264" s="2"/>
      <c r="L264" s="2"/>
      <c r="M264" s="2"/>
      <c r="N264" s="2"/>
      <c r="O264" s="2">
        <f aca="true" t="shared" si="204" ref="O264:AT264">O269</f>
        <v>0</v>
      </c>
      <c r="P264" s="2">
        <f t="shared" si="204"/>
        <v>0</v>
      </c>
      <c r="Q264" s="2">
        <f t="shared" si="204"/>
        <v>0</v>
      </c>
      <c r="R264" s="2">
        <f t="shared" si="204"/>
        <v>0</v>
      </c>
      <c r="S264" s="2">
        <f t="shared" si="204"/>
        <v>0</v>
      </c>
      <c r="T264" s="2">
        <f t="shared" si="204"/>
        <v>0</v>
      </c>
      <c r="U264" s="2">
        <f t="shared" si="204"/>
        <v>0</v>
      </c>
      <c r="V264" s="2">
        <f t="shared" si="204"/>
        <v>0</v>
      </c>
      <c r="W264" s="2">
        <f t="shared" si="204"/>
        <v>0</v>
      </c>
      <c r="X264" s="2">
        <f t="shared" si="204"/>
        <v>0</v>
      </c>
      <c r="Y264" s="2">
        <f t="shared" si="204"/>
        <v>0</v>
      </c>
      <c r="Z264" s="2">
        <f t="shared" si="204"/>
        <v>0</v>
      </c>
      <c r="AA264" s="2">
        <f t="shared" si="204"/>
        <v>0</v>
      </c>
      <c r="AB264" s="2">
        <f t="shared" si="204"/>
        <v>0</v>
      </c>
      <c r="AC264" s="2">
        <f t="shared" si="204"/>
        <v>0</v>
      </c>
      <c r="AD264" s="2">
        <f t="shared" si="204"/>
        <v>0</v>
      </c>
      <c r="AE264" s="2">
        <f t="shared" si="204"/>
        <v>0</v>
      </c>
      <c r="AF264" s="2">
        <f t="shared" si="204"/>
        <v>0</v>
      </c>
      <c r="AG264" s="2">
        <f t="shared" si="204"/>
        <v>0</v>
      </c>
      <c r="AH264" s="2">
        <f t="shared" si="204"/>
        <v>0</v>
      </c>
      <c r="AI264" s="2">
        <f t="shared" si="204"/>
        <v>0</v>
      </c>
      <c r="AJ264" s="2">
        <f t="shared" si="204"/>
        <v>0</v>
      </c>
      <c r="AK264" s="2">
        <f t="shared" si="204"/>
        <v>0</v>
      </c>
      <c r="AL264" s="2">
        <f t="shared" si="204"/>
        <v>0</v>
      </c>
      <c r="AM264" s="2">
        <f t="shared" si="204"/>
        <v>0</v>
      </c>
      <c r="AN264" s="2">
        <f t="shared" si="204"/>
        <v>0</v>
      </c>
      <c r="AO264" s="2">
        <f t="shared" si="204"/>
        <v>0</v>
      </c>
      <c r="AP264" s="2">
        <f t="shared" si="204"/>
        <v>0</v>
      </c>
      <c r="AQ264" s="2">
        <f t="shared" si="204"/>
        <v>0</v>
      </c>
      <c r="AR264" s="2">
        <f t="shared" si="204"/>
        <v>72526.43</v>
      </c>
      <c r="AS264" s="2">
        <f t="shared" si="204"/>
        <v>72526.43</v>
      </c>
      <c r="AT264" s="2">
        <f t="shared" si="204"/>
        <v>0</v>
      </c>
      <c r="AU264" s="2">
        <f aca="true" t="shared" si="205" ref="AU264:BZ264">AU269</f>
        <v>0</v>
      </c>
      <c r="AV264" s="2">
        <f t="shared" si="205"/>
        <v>0</v>
      </c>
      <c r="AW264" s="2">
        <f t="shared" si="205"/>
        <v>0</v>
      </c>
      <c r="AX264" s="2">
        <f t="shared" si="205"/>
        <v>0</v>
      </c>
      <c r="AY264" s="2">
        <f t="shared" si="205"/>
        <v>0</v>
      </c>
      <c r="AZ264" s="2">
        <f t="shared" si="205"/>
        <v>0</v>
      </c>
      <c r="BA264" s="2">
        <f t="shared" si="205"/>
        <v>0</v>
      </c>
      <c r="BB264" s="2">
        <f t="shared" si="205"/>
        <v>0</v>
      </c>
      <c r="BC264" s="2">
        <f t="shared" si="205"/>
        <v>0</v>
      </c>
      <c r="BD264" s="2">
        <f t="shared" si="205"/>
        <v>0</v>
      </c>
      <c r="BE264" s="2">
        <f t="shared" si="205"/>
        <v>0</v>
      </c>
      <c r="BF264" s="2">
        <f t="shared" si="205"/>
        <v>0</v>
      </c>
      <c r="BG264" s="2">
        <f t="shared" si="205"/>
        <v>0</v>
      </c>
      <c r="BH264" s="2">
        <f t="shared" si="205"/>
        <v>0</v>
      </c>
      <c r="BI264" s="2">
        <f t="shared" si="205"/>
        <v>0</v>
      </c>
      <c r="BJ264" s="2">
        <f t="shared" si="205"/>
        <v>0</v>
      </c>
      <c r="BK264" s="2">
        <f t="shared" si="205"/>
        <v>0</v>
      </c>
      <c r="BL264" s="2">
        <f t="shared" si="205"/>
        <v>0</v>
      </c>
      <c r="BM264" s="2">
        <f t="shared" si="205"/>
        <v>0</v>
      </c>
      <c r="BN264" s="2">
        <f t="shared" si="205"/>
        <v>0</v>
      </c>
      <c r="BO264" s="2">
        <f t="shared" si="205"/>
        <v>0</v>
      </c>
      <c r="BP264" s="2">
        <f t="shared" si="205"/>
        <v>0</v>
      </c>
      <c r="BQ264" s="2">
        <f t="shared" si="205"/>
        <v>0</v>
      </c>
      <c r="BR264" s="2">
        <f t="shared" si="205"/>
        <v>0</v>
      </c>
      <c r="BS264" s="2">
        <f t="shared" si="205"/>
        <v>0</v>
      </c>
      <c r="BT264" s="2">
        <f t="shared" si="205"/>
        <v>0</v>
      </c>
      <c r="BU264" s="2">
        <f t="shared" si="205"/>
        <v>0</v>
      </c>
      <c r="BV264" s="2">
        <f t="shared" si="205"/>
        <v>0</v>
      </c>
      <c r="BW264" s="2">
        <f t="shared" si="205"/>
        <v>0</v>
      </c>
      <c r="BX264" s="2">
        <f t="shared" si="205"/>
        <v>0</v>
      </c>
      <c r="BY264" s="2">
        <f t="shared" si="205"/>
        <v>0</v>
      </c>
      <c r="BZ264" s="2">
        <f t="shared" si="205"/>
        <v>0</v>
      </c>
      <c r="CA264" s="2">
        <f aca="true" t="shared" si="206" ref="CA264:DF264">CA269</f>
        <v>72526.43</v>
      </c>
      <c r="CB264" s="2">
        <f t="shared" si="206"/>
        <v>72526.43</v>
      </c>
      <c r="CC264" s="2">
        <f t="shared" si="206"/>
        <v>0</v>
      </c>
      <c r="CD264" s="2">
        <f t="shared" si="206"/>
        <v>0</v>
      </c>
      <c r="CE264" s="2">
        <f t="shared" si="206"/>
        <v>0</v>
      </c>
      <c r="CF264" s="2">
        <f t="shared" si="206"/>
        <v>0</v>
      </c>
      <c r="CG264" s="2">
        <f t="shared" si="206"/>
        <v>0</v>
      </c>
      <c r="CH264" s="2">
        <f t="shared" si="206"/>
        <v>0</v>
      </c>
      <c r="CI264" s="2">
        <f t="shared" si="206"/>
        <v>0</v>
      </c>
      <c r="CJ264" s="2">
        <f t="shared" si="206"/>
        <v>0</v>
      </c>
      <c r="CK264" s="2">
        <f t="shared" si="206"/>
        <v>0</v>
      </c>
      <c r="CL264" s="2">
        <f t="shared" si="206"/>
        <v>0</v>
      </c>
      <c r="CM264" s="2">
        <f t="shared" si="206"/>
        <v>0</v>
      </c>
      <c r="CN264" s="2">
        <f t="shared" si="206"/>
        <v>0</v>
      </c>
      <c r="CO264" s="2">
        <f t="shared" si="206"/>
        <v>0</v>
      </c>
      <c r="CP264" s="2">
        <f t="shared" si="206"/>
        <v>0</v>
      </c>
      <c r="CQ264" s="2">
        <f t="shared" si="206"/>
        <v>0</v>
      </c>
      <c r="CR264" s="2">
        <f t="shared" si="206"/>
        <v>0</v>
      </c>
      <c r="CS264" s="2">
        <f t="shared" si="206"/>
        <v>0</v>
      </c>
      <c r="CT264" s="2">
        <f t="shared" si="206"/>
        <v>0</v>
      </c>
      <c r="CU264" s="2">
        <f t="shared" si="206"/>
        <v>0</v>
      </c>
      <c r="CV264" s="2">
        <f t="shared" si="206"/>
        <v>0</v>
      </c>
      <c r="CW264" s="2">
        <f t="shared" si="206"/>
        <v>0</v>
      </c>
      <c r="CX264" s="2">
        <f t="shared" si="206"/>
        <v>0</v>
      </c>
      <c r="CY264" s="2">
        <f t="shared" si="206"/>
        <v>0</v>
      </c>
      <c r="CZ264" s="2">
        <f t="shared" si="206"/>
        <v>0</v>
      </c>
      <c r="DA264" s="2">
        <f t="shared" si="206"/>
        <v>0</v>
      </c>
      <c r="DB264" s="2">
        <f t="shared" si="206"/>
        <v>0</v>
      </c>
      <c r="DC264" s="2">
        <f t="shared" si="206"/>
        <v>0</v>
      </c>
      <c r="DD264" s="2">
        <f t="shared" si="206"/>
        <v>0</v>
      </c>
      <c r="DE264" s="2">
        <f t="shared" si="206"/>
        <v>0</v>
      </c>
      <c r="DF264" s="2">
        <f t="shared" si="206"/>
        <v>0</v>
      </c>
      <c r="DG264" s="3">
        <f aca="true" t="shared" si="207" ref="DG264:EL264">DG269</f>
        <v>0</v>
      </c>
      <c r="DH264" s="3">
        <f t="shared" si="207"/>
        <v>0</v>
      </c>
      <c r="DI264" s="3">
        <f t="shared" si="207"/>
        <v>0</v>
      </c>
      <c r="DJ264" s="3">
        <f t="shared" si="207"/>
        <v>0</v>
      </c>
      <c r="DK264" s="3">
        <f t="shared" si="207"/>
        <v>0</v>
      </c>
      <c r="DL264" s="3">
        <f t="shared" si="207"/>
        <v>0</v>
      </c>
      <c r="DM264" s="3">
        <f t="shared" si="207"/>
        <v>0</v>
      </c>
      <c r="DN264" s="3">
        <f t="shared" si="207"/>
        <v>0</v>
      </c>
      <c r="DO264" s="3">
        <f t="shared" si="207"/>
        <v>0</v>
      </c>
      <c r="DP264" s="3">
        <f t="shared" si="207"/>
        <v>0</v>
      </c>
      <c r="DQ264" s="3">
        <f t="shared" si="207"/>
        <v>0</v>
      </c>
      <c r="DR264" s="3">
        <f t="shared" si="207"/>
        <v>0</v>
      </c>
      <c r="DS264" s="3">
        <f t="shared" si="207"/>
        <v>0</v>
      </c>
      <c r="DT264" s="3">
        <f t="shared" si="207"/>
        <v>0</v>
      </c>
      <c r="DU264" s="3">
        <f t="shared" si="207"/>
        <v>0</v>
      </c>
      <c r="DV264" s="3">
        <f t="shared" si="207"/>
        <v>0</v>
      </c>
      <c r="DW264" s="3">
        <f t="shared" si="207"/>
        <v>0</v>
      </c>
      <c r="DX264" s="3">
        <f t="shared" si="207"/>
        <v>0</v>
      </c>
      <c r="DY264" s="3">
        <f t="shared" si="207"/>
        <v>0</v>
      </c>
      <c r="DZ264" s="3">
        <f t="shared" si="207"/>
        <v>0</v>
      </c>
      <c r="EA264" s="3">
        <f t="shared" si="207"/>
        <v>0</v>
      </c>
      <c r="EB264" s="3">
        <f t="shared" si="207"/>
        <v>0</v>
      </c>
      <c r="EC264" s="3">
        <f t="shared" si="207"/>
        <v>0</v>
      </c>
      <c r="ED264" s="3">
        <f t="shared" si="207"/>
        <v>0</v>
      </c>
      <c r="EE264" s="3">
        <f t="shared" si="207"/>
        <v>0</v>
      </c>
      <c r="EF264" s="3">
        <f t="shared" si="207"/>
        <v>0</v>
      </c>
      <c r="EG264" s="3">
        <f t="shared" si="207"/>
        <v>0</v>
      </c>
      <c r="EH264" s="3">
        <f t="shared" si="207"/>
        <v>0</v>
      </c>
      <c r="EI264" s="3">
        <f t="shared" si="207"/>
        <v>0</v>
      </c>
      <c r="EJ264" s="3">
        <f t="shared" si="207"/>
        <v>0</v>
      </c>
      <c r="EK264" s="3">
        <f t="shared" si="207"/>
        <v>0</v>
      </c>
      <c r="EL264" s="3">
        <f t="shared" si="207"/>
        <v>0</v>
      </c>
      <c r="EM264" s="3">
        <f aca="true" t="shared" si="208" ref="EM264:FR264">EM269</f>
        <v>0</v>
      </c>
      <c r="EN264" s="3">
        <f t="shared" si="208"/>
        <v>0</v>
      </c>
      <c r="EO264" s="3">
        <f t="shared" si="208"/>
        <v>0</v>
      </c>
      <c r="EP264" s="3">
        <f t="shared" si="208"/>
        <v>0</v>
      </c>
      <c r="EQ264" s="3">
        <f t="shared" si="208"/>
        <v>0</v>
      </c>
      <c r="ER264" s="3">
        <f t="shared" si="208"/>
        <v>0</v>
      </c>
      <c r="ES264" s="3">
        <f t="shared" si="208"/>
        <v>0</v>
      </c>
      <c r="ET264" s="3">
        <f t="shared" si="208"/>
        <v>0</v>
      </c>
      <c r="EU264" s="3">
        <f t="shared" si="208"/>
        <v>0</v>
      </c>
      <c r="EV264" s="3">
        <f t="shared" si="208"/>
        <v>0</v>
      </c>
      <c r="EW264" s="3">
        <f t="shared" si="208"/>
        <v>0</v>
      </c>
      <c r="EX264" s="3">
        <f t="shared" si="208"/>
        <v>0</v>
      </c>
      <c r="EY264" s="3">
        <f t="shared" si="208"/>
        <v>0</v>
      </c>
      <c r="EZ264" s="3">
        <f t="shared" si="208"/>
        <v>0</v>
      </c>
      <c r="FA264" s="3">
        <f t="shared" si="208"/>
        <v>0</v>
      </c>
      <c r="FB264" s="3">
        <f t="shared" si="208"/>
        <v>0</v>
      </c>
      <c r="FC264" s="3">
        <f t="shared" si="208"/>
        <v>0</v>
      </c>
      <c r="FD264" s="3">
        <f t="shared" si="208"/>
        <v>0</v>
      </c>
      <c r="FE264" s="3">
        <f t="shared" si="208"/>
        <v>0</v>
      </c>
      <c r="FF264" s="3">
        <f t="shared" si="208"/>
        <v>0</v>
      </c>
      <c r="FG264" s="3">
        <f t="shared" si="208"/>
        <v>0</v>
      </c>
      <c r="FH264" s="3">
        <f t="shared" si="208"/>
        <v>0</v>
      </c>
      <c r="FI264" s="3">
        <f t="shared" si="208"/>
        <v>0</v>
      </c>
      <c r="FJ264" s="3">
        <f t="shared" si="208"/>
        <v>0</v>
      </c>
      <c r="FK264" s="3">
        <f t="shared" si="208"/>
        <v>0</v>
      </c>
      <c r="FL264" s="3">
        <f t="shared" si="208"/>
        <v>0</v>
      </c>
      <c r="FM264" s="3">
        <f t="shared" si="208"/>
        <v>0</v>
      </c>
      <c r="FN264" s="3">
        <f t="shared" si="208"/>
        <v>0</v>
      </c>
      <c r="FO264" s="3">
        <f t="shared" si="208"/>
        <v>0</v>
      </c>
      <c r="FP264" s="3">
        <f t="shared" si="208"/>
        <v>0</v>
      </c>
      <c r="FQ264" s="3">
        <f t="shared" si="208"/>
        <v>0</v>
      </c>
      <c r="FR264" s="3">
        <f t="shared" si="208"/>
        <v>0</v>
      </c>
      <c r="FS264" s="3">
        <f aca="true" t="shared" si="209" ref="FS264:GX264">FS269</f>
        <v>0</v>
      </c>
      <c r="FT264" s="3">
        <f t="shared" si="209"/>
        <v>0</v>
      </c>
      <c r="FU264" s="3">
        <f t="shared" si="209"/>
        <v>0</v>
      </c>
      <c r="FV264" s="3">
        <f t="shared" si="209"/>
        <v>0</v>
      </c>
      <c r="FW264" s="3">
        <f t="shared" si="209"/>
        <v>0</v>
      </c>
      <c r="FX264" s="3">
        <f t="shared" si="209"/>
        <v>0</v>
      </c>
      <c r="FY264" s="3">
        <f t="shared" si="209"/>
        <v>0</v>
      </c>
      <c r="FZ264" s="3">
        <f t="shared" si="209"/>
        <v>0</v>
      </c>
      <c r="GA264" s="3">
        <f t="shared" si="209"/>
        <v>0</v>
      </c>
      <c r="GB264" s="3">
        <f t="shared" si="209"/>
        <v>0</v>
      </c>
      <c r="GC264" s="3">
        <f t="shared" si="209"/>
        <v>0</v>
      </c>
      <c r="GD264" s="3">
        <f t="shared" si="209"/>
        <v>0</v>
      </c>
      <c r="GE264" s="3">
        <f t="shared" si="209"/>
        <v>0</v>
      </c>
      <c r="GF264" s="3">
        <f t="shared" si="209"/>
        <v>0</v>
      </c>
      <c r="GG264" s="3">
        <f t="shared" si="209"/>
        <v>0</v>
      </c>
      <c r="GH264" s="3">
        <f t="shared" si="209"/>
        <v>0</v>
      </c>
      <c r="GI264" s="3">
        <f t="shared" si="209"/>
        <v>0</v>
      </c>
      <c r="GJ264" s="3">
        <f t="shared" si="209"/>
        <v>0</v>
      </c>
      <c r="GK264" s="3">
        <f t="shared" si="209"/>
        <v>0</v>
      </c>
      <c r="GL264" s="3">
        <f t="shared" si="209"/>
        <v>0</v>
      </c>
      <c r="GM264" s="3">
        <f t="shared" si="209"/>
        <v>0</v>
      </c>
      <c r="GN264" s="3">
        <f t="shared" si="209"/>
        <v>0</v>
      </c>
      <c r="GO264" s="3">
        <f t="shared" si="209"/>
        <v>0</v>
      </c>
      <c r="GP264" s="3">
        <f t="shared" si="209"/>
        <v>0</v>
      </c>
      <c r="GQ264" s="3">
        <f t="shared" si="209"/>
        <v>0</v>
      </c>
      <c r="GR264" s="3">
        <f t="shared" si="209"/>
        <v>0</v>
      </c>
      <c r="GS264" s="3">
        <f t="shared" si="209"/>
        <v>0</v>
      </c>
      <c r="GT264" s="3">
        <f t="shared" si="209"/>
        <v>0</v>
      </c>
      <c r="GU264" s="3">
        <f t="shared" si="209"/>
        <v>0</v>
      </c>
      <c r="GV264" s="3">
        <f t="shared" si="209"/>
        <v>0</v>
      </c>
      <c r="GW264" s="3">
        <f t="shared" si="209"/>
        <v>0</v>
      </c>
      <c r="GX264" s="3">
        <f t="shared" si="209"/>
        <v>0</v>
      </c>
    </row>
    <row r="266" spans="1:245" ht="12.75">
      <c r="A266">
        <v>17</v>
      </c>
      <c r="B266">
        <v>1</v>
      </c>
      <c r="E266" t="s">
        <v>377</v>
      </c>
      <c r="F266" t="s">
        <v>378</v>
      </c>
      <c r="G266" t="s">
        <v>379</v>
      </c>
      <c r="H266" t="s">
        <v>380</v>
      </c>
      <c r="I266">
        <f>ROUND(700*0.03*1.2+9.8+18.6*0.05*2+19.6*1.2+0.56+62*1.2,9)</f>
        <v>135.34</v>
      </c>
      <c r="J266">
        <v>0</v>
      </c>
      <c r="O266">
        <f>0</f>
        <v>0</v>
      </c>
      <c r="P266">
        <f>0</f>
        <v>0</v>
      </c>
      <c r="Q266">
        <f>0</f>
        <v>0</v>
      </c>
      <c r="R266">
        <f>0</f>
        <v>0</v>
      </c>
      <c r="S266">
        <f>0</f>
        <v>0</v>
      </c>
      <c r="T266">
        <f>0</f>
        <v>0</v>
      </c>
      <c r="U266">
        <f>0</f>
        <v>0</v>
      </c>
      <c r="V266">
        <f>0</f>
        <v>0</v>
      </c>
      <c r="W266">
        <f>0</f>
        <v>0</v>
      </c>
      <c r="X266">
        <f>0</f>
        <v>0</v>
      </c>
      <c r="Y266">
        <f>0</f>
        <v>0</v>
      </c>
      <c r="AA266">
        <v>51669678</v>
      </c>
      <c r="AB266">
        <f>ROUND((AK266),2)</f>
        <v>61.85</v>
      </c>
      <c r="AC266">
        <f>0</f>
        <v>0</v>
      </c>
      <c r="AD266">
        <f>0</f>
        <v>0</v>
      </c>
      <c r="AE266">
        <f>0</f>
        <v>0</v>
      </c>
      <c r="AF266">
        <f>0</f>
        <v>0</v>
      </c>
      <c r="AG266">
        <f>0</f>
        <v>0</v>
      </c>
      <c r="AH266">
        <f>0</f>
        <v>0</v>
      </c>
      <c r="AI266">
        <f>0</f>
        <v>0</v>
      </c>
      <c r="AJ266">
        <f>0</f>
        <v>0</v>
      </c>
      <c r="AK266">
        <v>61.85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1</v>
      </c>
      <c r="AW266">
        <v>1</v>
      </c>
      <c r="AZ266">
        <v>6.38</v>
      </c>
      <c r="BA266">
        <v>1</v>
      </c>
      <c r="BB266">
        <v>1</v>
      </c>
      <c r="BC266">
        <v>1</v>
      </c>
      <c r="BH266">
        <v>0</v>
      </c>
      <c r="BI266">
        <v>1</v>
      </c>
      <c r="BJ266" t="s">
        <v>381</v>
      </c>
      <c r="BM266">
        <v>700004</v>
      </c>
      <c r="BN266">
        <v>0</v>
      </c>
      <c r="BP266">
        <v>0</v>
      </c>
      <c r="BQ266">
        <v>19</v>
      </c>
      <c r="BR266">
        <v>0</v>
      </c>
      <c r="BS266">
        <v>1</v>
      </c>
      <c r="BT266">
        <v>1</v>
      </c>
      <c r="BU266">
        <v>1</v>
      </c>
      <c r="BV266">
        <v>1</v>
      </c>
      <c r="BW266">
        <v>1</v>
      </c>
      <c r="BX266">
        <v>1</v>
      </c>
      <c r="BZ266">
        <v>0</v>
      </c>
      <c r="CA266">
        <v>0</v>
      </c>
      <c r="CE266">
        <v>0</v>
      </c>
      <c r="CF266">
        <v>0</v>
      </c>
      <c r="CG266">
        <v>0</v>
      </c>
      <c r="CM266">
        <v>0</v>
      </c>
      <c r="CO266">
        <v>0</v>
      </c>
      <c r="CP266">
        <f>AB266*AZ266</f>
        <v>394.603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N266">
        <v>0</v>
      </c>
      <c r="DO266">
        <v>0</v>
      </c>
      <c r="DP266">
        <v>1</v>
      </c>
      <c r="DQ266">
        <v>1</v>
      </c>
      <c r="DU266">
        <v>1013</v>
      </c>
      <c r="DV266" t="s">
        <v>380</v>
      </c>
      <c r="DW266" t="s">
        <v>380</v>
      </c>
      <c r="DX266">
        <v>1</v>
      </c>
      <c r="EE266">
        <v>48034576</v>
      </c>
      <c r="EF266">
        <v>19</v>
      </c>
      <c r="EG266" t="s">
        <v>382</v>
      </c>
      <c r="EH266">
        <v>0</v>
      </c>
      <c r="EJ266">
        <v>1</v>
      </c>
      <c r="EK266">
        <v>700004</v>
      </c>
      <c r="EL266" t="s">
        <v>383</v>
      </c>
      <c r="EM266" t="s">
        <v>384</v>
      </c>
      <c r="EQ266">
        <v>131072</v>
      </c>
      <c r="ER266">
        <v>61.85</v>
      </c>
      <c r="ES266">
        <v>0</v>
      </c>
      <c r="ET266">
        <v>61.85</v>
      </c>
      <c r="EU266">
        <v>0</v>
      </c>
      <c r="EV266">
        <v>0</v>
      </c>
      <c r="EW266">
        <v>0</v>
      </c>
      <c r="EX266">
        <v>0</v>
      </c>
      <c r="EY266">
        <v>0</v>
      </c>
      <c r="FQ266">
        <v>0</v>
      </c>
      <c r="FR266">
        <f>ROUND(IF(AND(BH266=3,BI266=3),P266,0),2)</f>
        <v>0</v>
      </c>
      <c r="FS266">
        <v>0</v>
      </c>
      <c r="FX266">
        <v>0</v>
      </c>
      <c r="FY266">
        <v>0</v>
      </c>
      <c r="GD266">
        <v>1</v>
      </c>
      <c r="GF266">
        <v>-1429241351</v>
      </c>
      <c r="GG266">
        <v>2</v>
      </c>
      <c r="GH266">
        <v>1</v>
      </c>
      <c r="GI266">
        <v>3</v>
      </c>
      <c r="GJ266">
        <v>2</v>
      </c>
      <c r="GK266">
        <v>0</v>
      </c>
      <c r="GL266">
        <f>ROUND(IF(AND(BH266=3,BI266=3,FS266&lt;&gt;0),P266,0),2)</f>
        <v>0</v>
      </c>
      <c r="GM266">
        <f>ROUND(CP266*I266,2)</f>
        <v>53405.57</v>
      </c>
      <c r="GN266">
        <f>IF(OR(BI266=0,BI266=1),ROUND(CP266*I266,2),0)</f>
        <v>53405.57</v>
      </c>
      <c r="GO266">
        <f>IF(BI266=2,ROUND(CP266*I266,2),0)</f>
        <v>0</v>
      </c>
      <c r="GP266">
        <f>IF(BI266=4,ROUND(CP266*I266,2)+GX266,0)</f>
        <v>0</v>
      </c>
      <c r="GR266">
        <v>0</v>
      </c>
      <c r="GS266">
        <v>3</v>
      </c>
      <c r="GT266">
        <v>0</v>
      </c>
      <c r="GV266">
        <f>0</f>
        <v>0</v>
      </c>
      <c r="GW266">
        <v>1</v>
      </c>
      <c r="GX266">
        <f>0</f>
        <v>0</v>
      </c>
      <c r="HA266">
        <v>0</v>
      </c>
      <c r="HB266">
        <v>0</v>
      </c>
      <c r="HC266">
        <v>0</v>
      </c>
      <c r="IK266">
        <v>0</v>
      </c>
    </row>
    <row r="267" spans="1:245" ht="12.75">
      <c r="A267">
        <v>17</v>
      </c>
      <c r="B267">
        <v>1</v>
      </c>
      <c r="E267" t="s">
        <v>385</v>
      </c>
      <c r="F267" t="s">
        <v>386</v>
      </c>
      <c r="G267" t="s">
        <v>387</v>
      </c>
      <c r="H267" t="s">
        <v>380</v>
      </c>
      <c r="I267">
        <f>ROUND(700*0.03*1.2+9.8+18.6*0.05*2+19.6*1.2+0.56+62*1.2,9)</f>
        <v>135.34</v>
      </c>
      <c r="J267">
        <v>0</v>
      </c>
      <c r="O267">
        <f>0</f>
        <v>0</v>
      </c>
      <c r="P267">
        <f>0</f>
        <v>0</v>
      </c>
      <c r="Q267">
        <f>0</f>
        <v>0</v>
      </c>
      <c r="R267">
        <f>0</f>
        <v>0</v>
      </c>
      <c r="S267">
        <f>0</f>
        <v>0</v>
      </c>
      <c r="T267">
        <f>0</f>
        <v>0</v>
      </c>
      <c r="U267">
        <f>0</f>
        <v>0</v>
      </c>
      <c r="V267">
        <f>0</f>
        <v>0</v>
      </c>
      <c r="W267">
        <f>0</f>
        <v>0</v>
      </c>
      <c r="X267">
        <f>0</f>
        <v>0</v>
      </c>
      <c r="Y267">
        <f>0</f>
        <v>0</v>
      </c>
      <c r="AA267">
        <v>51669678</v>
      </c>
      <c r="AB267">
        <f>ROUND((AK267),2)</f>
        <v>21.87</v>
      </c>
      <c r="AC267">
        <f>0</f>
        <v>0</v>
      </c>
      <c r="AD267">
        <f>0</f>
        <v>0</v>
      </c>
      <c r="AE267">
        <f>0</f>
        <v>0</v>
      </c>
      <c r="AF267">
        <f>0</f>
        <v>0</v>
      </c>
      <c r="AG267">
        <f>0</f>
        <v>0</v>
      </c>
      <c r="AH267">
        <f>0</f>
        <v>0</v>
      </c>
      <c r="AI267">
        <f>0</f>
        <v>0</v>
      </c>
      <c r="AJ267">
        <f>0</f>
        <v>0</v>
      </c>
      <c r="AK267">
        <v>21.87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1</v>
      </c>
      <c r="AW267">
        <v>1</v>
      </c>
      <c r="AZ267">
        <v>6.46</v>
      </c>
      <c r="BA267">
        <v>1</v>
      </c>
      <c r="BB267">
        <v>1</v>
      </c>
      <c r="BC267">
        <v>1</v>
      </c>
      <c r="BH267">
        <v>0</v>
      </c>
      <c r="BI267">
        <v>1</v>
      </c>
      <c r="BJ267" t="s">
        <v>388</v>
      </c>
      <c r="BM267">
        <v>700001</v>
      </c>
      <c r="BN267">
        <v>0</v>
      </c>
      <c r="BP267">
        <v>0</v>
      </c>
      <c r="BQ267">
        <v>10</v>
      </c>
      <c r="BR267">
        <v>0</v>
      </c>
      <c r="BS267">
        <v>1</v>
      </c>
      <c r="BT267">
        <v>1</v>
      </c>
      <c r="BU267">
        <v>1</v>
      </c>
      <c r="BV267">
        <v>1</v>
      </c>
      <c r="BW267">
        <v>1</v>
      </c>
      <c r="BX267">
        <v>1</v>
      </c>
      <c r="BZ267">
        <v>0</v>
      </c>
      <c r="CA267">
        <v>0</v>
      </c>
      <c r="CE267">
        <v>0</v>
      </c>
      <c r="CF267">
        <v>0</v>
      </c>
      <c r="CG267">
        <v>0</v>
      </c>
      <c r="CM267">
        <v>0</v>
      </c>
      <c r="CO267">
        <v>0</v>
      </c>
      <c r="CP267">
        <f>AB267*AZ267</f>
        <v>141.2802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N267">
        <v>0</v>
      </c>
      <c r="DO267">
        <v>0</v>
      </c>
      <c r="DP267">
        <v>1</v>
      </c>
      <c r="DQ267">
        <v>1</v>
      </c>
      <c r="DU267">
        <v>1013</v>
      </c>
      <c r="DV267" t="s">
        <v>380</v>
      </c>
      <c r="DW267" t="s">
        <v>380</v>
      </c>
      <c r="DX267">
        <v>1</v>
      </c>
      <c r="EE267">
        <v>48034326</v>
      </c>
      <c r="EF267">
        <v>10</v>
      </c>
      <c r="EG267" t="s">
        <v>389</v>
      </c>
      <c r="EH267">
        <v>0</v>
      </c>
      <c r="EJ267">
        <v>1</v>
      </c>
      <c r="EK267">
        <v>700001</v>
      </c>
      <c r="EL267" t="s">
        <v>390</v>
      </c>
      <c r="EM267" t="s">
        <v>391</v>
      </c>
      <c r="EQ267">
        <v>131072</v>
      </c>
      <c r="ER267">
        <v>21.87</v>
      </c>
      <c r="ES267">
        <v>0</v>
      </c>
      <c r="ET267">
        <v>21.87</v>
      </c>
      <c r="EU267">
        <v>0</v>
      </c>
      <c r="EV267">
        <v>0</v>
      </c>
      <c r="EW267">
        <v>0</v>
      </c>
      <c r="EX267">
        <v>0</v>
      </c>
      <c r="EY267">
        <v>0</v>
      </c>
      <c r="FQ267">
        <v>0</v>
      </c>
      <c r="FR267">
        <f>ROUND(IF(AND(BH267=3,BI267=3),P267,0),2)</f>
        <v>0</v>
      </c>
      <c r="FS267">
        <v>0</v>
      </c>
      <c r="FX267">
        <v>0</v>
      </c>
      <c r="FY267">
        <v>0</v>
      </c>
      <c r="GD267">
        <v>1</v>
      </c>
      <c r="GF267">
        <v>2050245916</v>
      </c>
      <c r="GG267">
        <v>2</v>
      </c>
      <c r="GH267">
        <v>1</v>
      </c>
      <c r="GI267">
        <v>3</v>
      </c>
      <c r="GJ267">
        <v>2</v>
      </c>
      <c r="GK267">
        <v>0</v>
      </c>
      <c r="GL267">
        <f>ROUND(IF(AND(BH267=3,BI267=3,FS267&lt;&gt;0),P267,0),2)</f>
        <v>0</v>
      </c>
      <c r="GM267">
        <f>ROUND(CP267*I267,2)</f>
        <v>19120.86</v>
      </c>
      <c r="GN267">
        <f>IF(OR(BI267=0,BI267=1),ROUND(CP267*I267,2),0)</f>
        <v>19120.86</v>
      </c>
      <c r="GO267">
        <f>IF(BI267=2,ROUND(CP267*I267,2),0)</f>
        <v>0</v>
      </c>
      <c r="GP267">
        <f>IF(BI267=4,ROUND(CP267*I267,2)+GX267,0)</f>
        <v>0</v>
      </c>
      <c r="GR267">
        <v>0</v>
      </c>
      <c r="GS267">
        <v>3</v>
      </c>
      <c r="GT267">
        <v>0</v>
      </c>
      <c r="GV267">
        <f>0</f>
        <v>0</v>
      </c>
      <c r="GW267">
        <v>1</v>
      </c>
      <c r="GX267">
        <f>0</f>
        <v>0</v>
      </c>
      <c r="HA267">
        <v>0</v>
      </c>
      <c r="HB267">
        <v>0</v>
      </c>
      <c r="HC267">
        <v>0</v>
      </c>
      <c r="IK267">
        <v>0</v>
      </c>
    </row>
    <row r="269" spans="1:206" ht="12.75">
      <c r="A269" s="2">
        <v>51</v>
      </c>
      <c r="B269" s="2">
        <f>B262</f>
        <v>1</v>
      </c>
      <c r="C269" s="2">
        <f>A262</f>
        <v>4</v>
      </c>
      <c r="D269" s="2">
        <f>ROW(A262)</f>
        <v>262</v>
      </c>
      <c r="E269" s="2"/>
      <c r="F269" s="2" t="str">
        <f>IF(F262&lt;&gt;"",F262,"")</f>
        <v>Новый раздел</v>
      </c>
      <c r="G269" s="2" t="str">
        <f>IF(G262&lt;&gt;"",G262,"")</f>
        <v>3. Погрузка и вывоз мусора</v>
      </c>
      <c r="H269" s="2">
        <v>0</v>
      </c>
      <c r="I269" s="2"/>
      <c r="J269" s="2"/>
      <c r="K269" s="2"/>
      <c r="L269" s="2"/>
      <c r="M269" s="2"/>
      <c r="N269" s="2"/>
      <c r="O269" s="2">
        <f aca="true" t="shared" si="210" ref="O269:T269">ROUND(AB269,2)</f>
        <v>0</v>
      </c>
      <c r="P269" s="2">
        <f t="shared" si="210"/>
        <v>0</v>
      </c>
      <c r="Q269" s="2">
        <f t="shared" si="210"/>
        <v>0</v>
      </c>
      <c r="R269" s="2">
        <f t="shared" si="210"/>
        <v>0</v>
      </c>
      <c r="S269" s="2">
        <f t="shared" si="210"/>
        <v>0</v>
      </c>
      <c r="T269" s="2">
        <f t="shared" si="210"/>
        <v>0</v>
      </c>
      <c r="U269" s="2">
        <f>AH269</f>
        <v>0</v>
      </c>
      <c r="V269" s="2">
        <f>AI269</f>
        <v>0</v>
      </c>
      <c r="W269" s="2">
        <f>ROUND(AJ269,2)</f>
        <v>0</v>
      </c>
      <c r="X269" s="2">
        <f>ROUND(AK269,2)</f>
        <v>0</v>
      </c>
      <c r="Y269" s="2">
        <f>ROUND(AL269,2)</f>
        <v>0</v>
      </c>
      <c r="Z269" s="2"/>
      <c r="AA269" s="2"/>
      <c r="AB269" s="2">
        <f>ROUND(SUMIF(AA266:AA267,"=51669678",O266:O267),2)</f>
        <v>0</v>
      </c>
      <c r="AC269" s="2">
        <f>ROUND(SUMIF(AA266:AA267,"=51669678",P266:P267),2)</f>
        <v>0</v>
      </c>
      <c r="AD269" s="2">
        <f>ROUND(SUMIF(AA266:AA267,"=51669678",Q266:Q267),2)</f>
        <v>0</v>
      </c>
      <c r="AE269" s="2">
        <f>ROUND(SUMIF(AA266:AA267,"=51669678",R266:R267),2)</f>
        <v>0</v>
      </c>
      <c r="AF269" s="2">
        <f>ROUND(SUMIF(AA266:AA267,"=51669678",S266:S267),2)</f>
        <v>0</v>
      </c>
      <c r="AG269" s="2">
        <f>ROUND(SUMIF(AA266:AA267,"=51669678",T266:T267),2)</f>
        <v>0</v>
      </c>
      <c r="AH269" s="2">
        <f>SUMIF(AA266:AA267,"=51669678",U266:U267)</f>
        <v>0</v>
      </c>
      <c r="AI269" s="2">
        <f>SUMIF(AA266:AA267,"=51669678",V266:V267)</f>
        <v>0</v>
      </c>
      <c r="AJ269" s="2">
        <f>ROUND(SUMIF(AA266:AA267,"=51669678",W266:W267),2)</f>
        <v>0</v>
      </c>
      <c r="AK269" s="2">
        <f>ROUND(SUMIF(AA266:AA267,"=51669678",X266:X267),2)</f>
        <v>0</v>
      </c>
      <c r="AL269" s="2">
        <f>ROUND(SUMIF(AA266:AA267,"=51669678",Y266:Y267),2)</f>
        <v>0</v>
      </c>
      <c r="AM269" s="2"/>
      <c r="AN269" s="2"/>
      <c r="AO269" s="2">
        <f aca="true" t="shared" si="211" ref="AO269:BC269">ROUND(BX269,2)</f>
        <v>0</v>
      </c>
      <c r="AP269" s="2">
        <f t="shared" si="211"/>
        <v>0</v>
      </c>
      <c r="AQ269" s="2">
        <f t="shared" si="211"/>
        <v>0</v>
      </c>
      <c r="AR269" s="2">
        <f t="shared" si="211"/>
        <v>72526.43</v>
      </c>
      <c r="AS269" s="2">
        <f t="shared" si="211"/>
        <v>72526.43</v>
      </c>
      <c r="AT269" s="2">
        <f t="shared" si="211"/>
        <v>0</v>
      </c>
      <c r="AU269" s="2">
        <f t="shared" si="211"/>
        <v>0</v>
      </c>
      <c r="AV269" s="2">
        <f t="shared" si="211"/>
        <v>0</v>
      </c>
      <c r="AW269" s="2">
        <f t="shared" si="211"/>
        <v>0</v>
      </c>
      <c r="AX269" s="2">
        <f t="shared" si="211"/>
        <v>0</v>
      </c>
      <c r="AY269" s="2">
        <f t="shared" si="211"/>
        <v>0</v>
      </c>
      <c r="AZ269" s="2">
        <f t="shared" si="211"/>
        <v>0</v>
      </c>
      <c r="BA269" s="2">
        <f t="shared" si="211"/>
        <v>0</v>
      </c>
      <c r="BB269" s="2">
        <f t="shared" si="211"/>
        <v>0</v>
      </c>
      <c r="BC269" s="2">
        <f t="shared" si="211"/>
        <v>0</v>
      </c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>
        <f>ROUND(SUMIF(AA266:AA267,"=51669678",FQ266:FQ267),2)</f>
        <v>0</v>
      </c>
      <c r="BY269" s="2">
        <f>ROUND(SUMIF(AA266:AA267,"=51669678",FR266:FR267),2)</f>
        <v>0</v>
      </c>
      <c r="BZ269" s="2">
        <f>ROUND(SUMIF(AA266:AA267,"=51669678",GL266:GL267),2)</f>
        <v>0</v>
      </c>
      <c r="CA269" s="2">
        <f>ROUND(SUMIF(AA266:AA267,"=51669678",GM266:GM267),2)</f>
        <v>72526.43</v>
      </c>
      <c r="CB269" s="2">
        <f>ROUND(SUMIF(AA266:AA267,"=51669678",GN266:GN267),2)</f>
        <v>72526.43</v>
      </c>
      <c r="CC269" s="2">
        <f>ROUND(SUMIF(AA266:AA267,"=51669678",GO266:GO267),2)</f>
        <v>0</v>
      </c>
      <c r="CD269" s="2">
        <f>ROUND(SUMIF(AA266:AA267,"=51669678",GP266:GP267),2)</f>
        <v>0</v>
      </c>
      <c r="CE269" s="2">
        <f>AC269-BX269</f>
        <v>0</v>
      </c>
      <c r="CF269" s="2">
        <f>AC269-BY269</f>
        <v>0</v>
      </c>
      <c r="CG269" s="2">
        <f>BX269-BZ269</f>
        <v>0</v>
      </c>
      <c r="CH269" s="2">
        <f>AC269-BX269-BY269+BZ269</f>
        <v>0</v>
      </c>
      <c r="CI269" s="2">
        <f>BY269-BZ269</f>
        <v>0</v>
      </c>
      <c r="CJ269" s="2">
        <f>ROUND(SUMIF(AA266:AA267,"=51669678",GX266:GX267),2)</f>
        <v>0</v>
      </c>
      <c r="CK269" s="2">
        <f>ROUND(SUMIF(AA266:AA267,"=51669678",GY266:GY267),2)</f>
        <v>0</v>
      </c>
      <c r="CL269" s="2">
        <f>ROUND(SUMIF(AA266:AA267,"=51669678",GZ266:GZ267),2)</f>
        <v>0</v>
      </c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>
        <v>0</v>
      </c>
    </row>
    <row r="271" spans="1:23" ht="12.75">
      <c r="A271" s="4">
        <v>50</v>
      </c>
      <c r="B271" s="4">
        <v>0</v>
      </c>
      <c r="C271" s="4">
        <v>0</v>
      </c>
      <c r="D271" s="4">
        <v>1</v>
      </c>
      <c r="E271" s="4">
        <v>201</v>
      </c>
      <c r="F271" s="4">
        <f>ROUND(Source!O269,O271)</f>
        <v>0</v>
      </c>
      <c r="G271" s="4" t="s">
        <v>79</v>
      </c>
      <c r="H271" s="4" t="s">
        <v>80</v>
      </c>
      <c r="I271" s="4"/>
      <c r="J271" s="4"/>
      <c r="K271" s="4">
        <v>201</v>
      </c>
      <c r="L271" s="4">
        <v>1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3" ht="12.75">
      <c r="A272" s="4">
        <v>50</v>
      </c>
      <c r="B272" s="4">
        <v>0</v>
      </c>
      <c r="C272" s="4">
        <v>0</v>
      </c>
      <c r="D272" s="4">
        <v>1</v>
      </c>
      <c r="E272" s="4">
        <v>202</v>
      </c>
      <c r="F272" s="4">
        <f>ROUND(Source!P269,O272)</f>
        <v>0</v>
      </c>
      <c r="G272" s="4" t="s">
        <v>81</v>
      </c>
      <c r="H272" s="4" t="s">
        <v>82</v>
      </c>
      <c r="I272" s="4"/>
      <c r="J272" s="4"/>
      <c r="K272" s="4">
        <v>202</v>
      </c>
      <c r="L272" s="4">
        <v>2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ht="12.75">
      <c r="A273" s="4">
        <v>50</v>
      </c>
      <c r="B273" s="4">
        <v>0</v>
      </c>
      <c r="C273" s="4">
        <v>0</v>
      </c>
      <c r="D273" s="4">
        <v>1</v>
      </c>
      <c r="E273" s="4">
        <v>222</v>
      </c>
      <c r="F273" s="4">
        <f>ROUND(Source!AO269,O273)</f>
        <v>0</v>
      </c>
      <c r="G273" s="4" t="s">
        <v>83</v>
      </c>
      <c r="H273" s="4" t="s">
        <v>84</v>
      </c>
      <c r="I273" s="4"/>
      <c r="J273" s="4"/>
      <c r="K273" s="4">
        <v>222</v>
      </c>
      <c r="L273" s="4">
        <v>3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ht="12.75">
      <c r="A274" s="4">
        <v>50</v>
      </c>
      <c r="B274" s="4">
        <v>0</v>
      </c>
      <c r="C274" s="4">
        <v>0</v>
      </c>
      <c r="D274" s="4">
        <v>1</v>
      </c>
      <c r="E274" s="4">
        <v>225</v>
      </c>
      <c r="F274" s="4">
        <f>ROUND(Source!AV269,O274)</f>
        <v>0</v>
      </c>
      <c r="G274" s="4" t="s">
        <v>85</v>
      </c>
      <c r="H274" s="4" t="s">
        <v>86</v>
      </c>
      <c r="I274" s="4"/>
      <c r="J274" s="4"/>
      <c r="K274" s="4">
        <v>225</v>
      </c>
      <c r="L274" s="4">
        <v>4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ht="12.75">
      <c r="A275" s="4">
        <v>50</v>
      </c>
      <c r="B275" s="4">
        <v>0</v>
      </c>
      <c r="C275" s="4">
        <v>0</v>
      </c>
      <c r="D275" s="4">
        <v>1</v>
      </c>
      <c r="E275" s="4">
        <v>226</v>
      </c>
      <c r="F275" s="4">
        <f>ROUND(Source!AW269,O275)</f>
        <v>0</v>
      </c>
      <c r="G275" s="4" t="s">
        <v>87</v>
      </c>
      <c r="H275" s="4" t="s">
        <v>88</v>
      </c>
      <c r="I275" s="4"/>
      <c r="J275" s="4"/>
      <c r="K275" s="4">
        <v>226</v>
      </c>
      <c r="L275" s="4">
        <v>5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ht="12.75">
      <c r="A276" s="4">
        <v>50</v>
      </c>
      <c r="B276" s="4">
        <v>0</v>
      </c>
      <c r="C276" s="4">
        <v>0</v>
      </c>
      <c r="D276" s="4">
        <v>1</v>
      </c>
      <c r="E276" s="4">
        <v>227</v>
      </c>
      <c r="F276" s="4">
        <f>ROUND(Source!AX269,O276)</f>
        <v>0</v>
      </c>
      <c r="G276" s="4" t="s">
        <v>89</v>
      </c>
      <c r="H276" s="4" t="s">
        <v>90</v>
      </c>
      <c r="I276" s="4"/>
      <c r="J276" s="4"/>
      <c r="K276" s="4">
        <v>227</v>
      </c>
      <c r="L276" s="4">
        <v>6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ht="12.75">
      <c r="A277" s="4">
        <v>50</v>
      </c>
      <c r="B277" s="4">
        <v>0</v>
      </c>
      <c r="C277" s="4">
        <v>0</v>
      </c>
      <c r="D277" s="4">
        <v>1</v>
      </c>
      <c r="E277" s="4">
        <v>228</v>
      </c>
      <c r="F277" s="4">
        <f>ROUND(Source!AY269,O277)</f>
        <v>0</v>
      </c>
      <c r="G277" s="4" t="s">
        <v>91</v>
      </c>
      <c r="H277" s="4" t="s">
        <v>92</v>
      </c>
      <c r="I277" s="4"/>
      <c r="J277" s="4"/>
      <c r="K277" s="4">
        <v>228</v>
      </c>
      <c r="L277" s="4">
        <v>7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ht="12.75">
      <c r="A278" s="4">
        <v>50</v>
      </c>
      <c r="B278" s="4">
        <v>0</v>
      </c>
      <c r="C278" s="4">
        <v>0</v>
      </c>
      <c r="D278" s="4">
        <v>1</v>
      </c>
      <c r="E278" s="4">
        <v>216</v>
      </c>
      <c r="F278" s="4">
        <f>ROUND(Source!AP269,O278)</f>
        <v>0</v>
      </c>
      <c r="G278" s="4" t="s">
        <v>93</v>
      </c>
      <c r="H278" s="4" t="s">
        <v>94</v>
      </c>
      <c r="I278" s="4"/>
      <c r="J278" s="4"/>
      <c r="K278" s="4">
        <v>216</v>
      </c>
      <c r="L278" s="4">
        <v>8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ht="12.75">
      <c r="A279" s="4">
        <v>50</v>
      </c>
      <c r="B279" s="4">
        <v>0</v>
      </c>
      <c r="C279" s="4">
        <v>0</v>
      </c>
      <c r="D279" s="4">
        <v>1</v>
      </c>
      <c r="E279" s="4">
        <v>223</v>
      </c>
      <c r="F279" s="4">
        <f>ROUND(Source!AQ269,O279)</f>
        <v>0</v>
      </c>
      <c r="G279" s="4" t="s">
        <v>95</v>
      </c>
      <c r="H279" s="4" t="s">
        <v>96</v>
      </c>
      <c r="I279" s="4"/>
      <c r="J279" s="4"/>
      <c r="K279" s="4">
        <v>223</v>
      </c>
      <c r="L279" s="4">
        <v>9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ht="12.75">
      <c r="A280" s="4">
        <v>50</v>
      </c>
      <c r="B280" s="4">
        <v>0</v>
      </c>
      <c r="C280" s="4">
        <v>0</v>
      </c>
      <c r="D280" s="4">
        <v>1</v>
      </c>
      <c r="E280" s="4">
        <v>229</v>
      </c>
      <c r="F280" s="4">
        <f>ROUND(Source!AZ269,O280)</f>
        <v>0</v>
      </c>
      <c r="G280" s="4" t="s">
        <v>97</v>
      </c>
      <c r="H280" s="4" t="s">
        <v>98</v>
      </c>
      <c r="I280" s="4"/>
      <c r="J280" s="4"/>
      <c r="K280" s="4">
        <v>229</v>
      </c>
      <c r="L280" s="4">
        <v>10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ht="12.75">
      <c r="A281" s="4">
        <v>50</v>
      </c>
      <c r="B281" s="4">
        <v>0</v>
      </c>
      <c r="C281" s="4">
        <v>0</v>
      </c>
      <c r="D281" s="4">
        <v>1</v>
      </c>
      <c r="E281" s="4">
        <v>203</v>
      </c>
      <c r="F281" s="4">
        <f>ROUND(Source!Q269,O281)</f>
        <v>0</v>
      </c>
      <c r="G281" s="4" t="s">
        <v>99</v>
      </c>
      <c r="H281" s="4" t="s">
        <v>100</v>
      </c>
      <c r="I281" s="4"/>
      <c r="J281" s="4"/>
      <c r="K281" s="4">
        <v>203</v>
      </c>
      <c r="L281" s="4">
        <v>11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3" ht="12.75">
      <c r="A282" s="4">
        <v>50</v>
      </c>
      <c r="B282" s="4">
        <v>0</v>
      </c>
      <c r="C282" s="4">
        <v>0</v>
      </c>
      <c r="D282" s="4">
        <v>1</v>
      </c>
      <c r="E282" s="4">
        <v>231</v>
      </c>
      <c r="F282" s="4">
        <f>ROUND(Source!BB269,O282)</f>
        <v>0</v>
      </c>
      <c r="G282" s="4" t="s">
        <v>101</v>
      </c>
      <c r="H282" s="4" t="s">
        <v>102</v>
      </c>
      <c r="I282" s="4"/>
      <c r="J282" s="4"/>
      <c r="K282" s="4">
        <v>231</v>
      </c>
      <c r="L282" s="4">
        <v>12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/>
    </row>
    <row r="283" spans="1:23" ht="12.75">
      <c r="A283" s="4">
        <v>50</v>
      </c>
      <c r="B283" s="4">
        <v>0</v>
      </c>
      <c r="C283" s="4">
        <v>0</v>
      </c>
      <c r="D283" s="4">
        <v>1</v>
      </c>
      <c r="E283" s="4">
        <v>204</v>
      </c>
      <c r="F283" s="4">
        <f>ROUND(Source!R269,O283)</f>
        <v>0</v>
      </c>
      <c r="G283" s="4" t="s">
        <v>103</v>
      </c>
      <c r="H283" s="4" t="s">
        <v>104</v>
      </c>
      <c r="I283" s="4"/>
      <c r="J283" s="4"/>
      <c r="K283" s="4">
        <v>204</v>
      </c>
      <c r="L283" s="4">
        <v>13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ht="12.75">
      <c r="A284" s="4">
        <v>50</v>
      </c>
      <c r="B284" s="4">
        <v>0</v>
      </c>
      <c r="C284" s="4">
        <v>0</v>
      </c>
      <c r="D284" s="4">
        <v>1</v>
      </c>
      <c r="E284" s="4">
        <v>205</v>
      </c>
      <c r="F284" s="4">
        <f>ROUND(Source!S269,O284)</f>
        <v>0</v>
      </c>
      <c r="G284" s="4" t="s">
        <v>105</v>
      </c>
      <c r="H284" s="4" t="s">
        <v>106</v>
      </c>
      <c r="I284" s="4"/>
      <c r="J284" s="4"/>
      <c r="K284" s="4">
        <v>205</v>
      </c>
      <c r="L284" s="4">
        <v>14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3" ht="12.75">
      <c r="A285" s="4">
        <v>50</v>
      </c>
      <c r="B285" s="4">
        <v>0</v>
      </c>
      <c r="C285" s="4">
        <v>0</v>
      </c>
      <c r="D285" s="4">
        <v>1</v>
      </c>
      <c r="E285" s="4">
        <v>232</v>
      </c>
      <c r="F285" s="4">
        <f>ROUND(Source!BC269,O285)</f>
        <v>0</v>
      </c>
      <c r="G285" s="4" t="s">
        <v>107</v>
      </c>
      <c r="H285" s="4" t="s">
        <v>108</v>
      </c>
      <c r="I285" s="4"/>
      <c r="J285" s="4"/>
      <c r="K285" s="4">
        <v>232</v>
      </c>
      <c r="L285" s="4">
        <v>15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3" ht="12.75">
      <c r="A286" s="4">
        <v>50</v>
      </c>
      <c r="B286" s="4">
        <v>0</v>
      </c>
      <c r="C286" s="4">
        <v>0</v>
      </c>
      <c r="D286" s="4">
        <v>1</v>
      </c>
      <c r="E286" s="4">
        <v>214</v>
      </c>
      <c r="F286" s="4">
        <f>ROUND(Source!AS269,O286)</f>
        <v>72526.43</v>
      </c>
      <c r="G286" s="4" t="s">
        <v>109</v>
      </c>
      <c r="H286" s="4" t="s">
        <v>110</v>
      </c>
      <c r="I286" s="4"/>
      <c r="J286" s="4"/>
      <c r="K286" s="4">
        <v>214</v>
      </c>
      <c r="L286" s="4">
        <v>16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ht="12.75">
      <c r="A287" s="4">
        <v>50</v>
      </c>
      <c r="B287" s="4">
        <v>0</v>
      </c>
      <c r="C287" s="4">
        <v>0</v>
      </c>
      <c r="D287" s="4">
        <v>1</v>
      </c>
      <c r="E287" s="4">
        <v>215</v>
      </c>
      <c r="F287" s="4">
        <f>ROUND(Source!AT269,O287)</f>
        <v>0</v>
      </c>
      <c r="G287" s="4" t="s">
        <v>111</v>
      </c>
      <c r="H287" s="4" t="s">
        <v>112</v>
      </c>
      <c r="I287" s="4"/>
      <c r="J287" s="4"/>
      <c r="K287" s="4">
        <v>215</v>
      </c>
      <c r="L287" s="4">
        <v>17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ht="12.75">
      <c r="A288" s="4">
        <v>50</v>
      </c>
      <c r="B288" s="4">
        <v>0</v>
      </c>
      <c r="C288" s="4">
        <v>0</v>
      </c>
      <c r="D288" s="4">
        <v>1</v>
      </c>
      <c r="E288" s="4">
        <v>217</v>
      </c>
      <c r="F288" s="4">
        <f>ROUND(Source!AU269,O288)</f>
        <v>0</v>
      </c>
      <c r="G288" s="4" t="s">
        <v>113</v>
      </c>
      <c r="H288" s="4" t="s">
        <v>114</v>
      </c>
      <c r="I288" s="4"/>
      <c r="J288" s="4"/>
      <c r="K288" s="4">
        <v>217</v>
      </c>
      <c r="L288" s="4">
        <v>18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3" ht="12.75">
      <c r="A289" s="4">
        <v>50</v>
      </c>
      <c r="B289" s="4">
        <v>0</v>
      </c>
      <c r="C289" s="4">
        <v>0</v>
      </c>
      <c r="D289" s="4">
        <v>1</v>
      </c>
      <c r="E289" s="4">
        <v>230</v>
      </c>
      <c r="F289" s="4">
        <f>ROUND(Source!BA269,O289)</f>
        <v>0</v>
      </c>
      <c r="G289" s="4" t="s">
        <v>115</v>
      </c>
      <c r="H289" s="4" t="s">
        <v>116</v>
      </c>
      <c r="I289" s="4"/>
      <c r="J289" s="4"/>
      <c r="K289" s="4">
        <v>230</v>
      </c>
      <c r="L289" s="4">
        <v>19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3" ht="12.75">
      <c r="A290" s="4">
        <v>50</v>
      </c>
      <c r="B290" s="4">
        <v>0</v>
      </c>
      <c r="C290" s="4">
        <v>0</v>
      </c>
      <c r="D290" s="4">
        <v>1</v>
      </c>
      <c r="E290" s="4">
        <v>206</v>
      </c>
      <c r="F290" s="4">
        <f>ROUND(Source!T269,O290)</f>
        <v>0</v>
      </c>
      <c r="G290" s="4" t="s">
        <v>117</v>
      </c>
      <c r="H290" s="4" t="s">
        <v>118</v>
      </c>
      <c r="I290" s="4"/>
      <c r="J290" s="4"/>
      <c r="K290" s="4">
        <v>206</v>
      </c>
      <c r="L290" s="4">
        <v>20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3" ht="12.75">
      <c r="A291" s="4">
        <v>50</v>
      </c>
      <c r="B291" s="4">
        <v>0</v>
      </c>
      <c r="C291" s="4">
        <v>0</v>
      </c>
      <c r="D291" s="4">
        <v>1</v>
      </c>
      <c r="E291" s="4">
        <v>207</v>
      </c>
      <c r="F291" s="4">
        <f>Source!U269</f>
        <v>0</v>
      </c>
      <c r="G291" s="4" t="s">
        <v>119</v>
      </c>
      <c r="H291" s="4" t="s">
        <v>120</v>
      </c>
      <c r="I291" s="4"/>
      <c r="J291" s="4"/>
      <c r="K291" s="4">
        <v>207</v>
      </c>
      <c r="L291" s="4">
        <v>21</v>
      </c>
      <c r="M291" s="4">
        <v>3</v>
      </c>
      <c r="N291" s="4" t="s">
        <v>3</v>
      </c>
      <c r="O291" s="4">
        <v>-1</v>
      </c>
      <c r="P291" s="4"/>
      <c r="Q291" s="4"/>
      <c r="R291" s="4"/>
      <c r="S291" s="4"/>
      <c r="T291" s="4"/>
      <c r="U291" s="4"/>
      <c r="V291" s="4"/>
      <c r="W291" s="4"/>
    </row>
    <row r="292" spans="1:23" ht="12.75">
      <c r="A292" s="4">
        <v>50</v>
      </c>
      <c r="B292" s="4">
        <v>0</v>
      </c>
      <c r="C292" s="4">
        <v>0</v>
      </c>
      <c r="D292" s="4">
        <v>1</v>
      </c>
      <c r="E292" s="4">
        <v>208</v>
      </c>
      <c r="F292" s="4">
        <f>Source!V269</f>
        <v>0</v>
      </c>
      <c r="G292" s="4" t="s">
        <v>121</v>
      </c>
      <c r="H292" s="4" t="s">
        <v>122</v>
      </c>
      <c r="I292" s="4"/>
      <c r="J292" s="4"/>
      <c r="K292" s="4">
        <v>208</v>
      </c>
      <c r="L292" s="4">
        <v>22</v>
      </c>
      <c r="M292" s="4">
        <v>3</v>
      </c>
      <c r="N292" s="4" t="s">
        <v>3</v>
      </c>
      <c r="O292" s="4">
        <v>-1</v>
      </c>
      <c r="P292" s="4"/>
      <c r="Q292" s="4"/>
      <c r="R292" s="4"/>
      <c r="S292" s="4"/>
      <c r="T292" s="4"/>
      <c r="U292" s="4"/>
      <c r="V292" s="4"/>
      <c r="W292" s="4"/>
    </row>
    <row r="293" spans="1:23" ht="12.75">
      <c r="A293" s="4">
        <v>50</v>
      </c>
      <c r="B293" s="4">
        <v>0</v>
      </c>
      <c r="C293" s="4">
        <v>0</v>
      </c>
      <c r="D293" s="4">
        <v>1</v>
      </c>
      <c r="E293" s="4">
        <v>209</v>
      </c>
      <c r="F293" s="4">
        <f>ROUND(Source!W269,O293)</f>
        <v>0</v>
      </c>
      <c r="G293" s="4" t="s">
        <v>123</v>
      </c>
      <c r="H293" s="4" t="s">
        <v>124</v>
      </c>
      <c r="I293" s="4"/>
      <c r="J293" s="4"/>
      <c r="K293" s="4">
        <v>209</v>
      </c>
      <c r="L293" s="4">
        <v>23</v>
      </c>
      <c r="M293" s="4">
        <v>3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4" spans="1:23" ht="12.75">
      <c r="A294" s="4">
        <v>50</v>
      </c>
      <c r="B294" s="4">
        <v>0</v>
      </c>
      <c r="C294" s="4">
        <v>0</v>
      </c>
      <c r="D294" s="4">
        <v>1</v>
      </c>
      <c r="E294" s="4">
        <v>210</v>
      </c>
      <c r="F294" s="4">
        <f>ROUND(Source!X269,O294)</f>
        <v>0</v>
      </c>
      <c r="G294" s="4" t="s">
        <v>125</v>
      </c>
      <c r="H294" s="4" t="s">
        <v>126</v>
      </c>
      <c r="I294" s="4"/>
      <c r="J294" s="4"/>
      <c r="K294" s="4">
        <v>210</v>
      </c>
      <c r="L294" s="4">
        <v>24</v>
      </c>
      <c r="M294" s="4">
        <v>3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/>
    </row>
    <row r="295" spans="1:23" ht="12.75">
      <c r="A295" s="4">
        <v>50</v>
      </c>
      <c r="B295" s="4">
        <v>0</v>
      </c>
      <c r="C295" s="4">
        <v>0</v>
      </c>
      <c r="D295" s="4">
        <v>1</v>
      </c>
      <c r="E295" s="4">
        <v>211</v>
      </c>
      <c r="F295" s="4">
        <f>ROUND(Source!Y269,O295)</f>
        <v>0</v>
      </c>
      <c r="G295" s="4" t="s">
        <v>127</v>
      </c>
      <c r="H295" s="4" t="s">
        <v>128</v>
      </c>
      <c r="I295" s="4"/>
      <c r="J295" s="4"/>
      <c r="K295" s="4">
        <v>211</v>
      </c>
      <c r="L295" s="4">
        <v>25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3" ht="12.75">
      <c r="A296" s="4">
        <v>50</v>
      </c>
      <c r="B296" s="4">
        <v>0</v>
      </c>
      <c r="C296" s="4">
        <v>0</v>
      </c>
      <c r="D296" s="4">
        <v>1</v>
      </c>
      <c r="E296" s="4">
        <v>224</v>
      </c>
      <c r="F296" s="4">
        <f>ROUND(Source!AR269,O296)</f>
        <v>72526.43</v>
      </c>
      <c r="G296" s="4" t="s">
        <v>129</v>
      </c>
      <c r="H296" s="4" t="s">
        <v>130</v>
      </c>
      <c r="I296" s="4"/>
      <c r="J296" s="4"/>
      <c r="K296" s="4">
        <v>224</v>
      </c>
      <c r="L296" s="4">
        <v>26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8" spans="1:206" ht="12.75">
      <c r="A298" s="2">
        <v>51</v>
      </c>
      <c r="B298" s="2">
        <f>B20</f>
        <v>1</v>
      </c>
      <c r="C298" s="2">
        <f>A20</f>
        <v>3</v>
      </c>
      <c r="D298" s="2">
        <f>ROW(A20)</f>
        <v>20</v>
      </c>
      <c r="E298" s="2"/>
      <c r="F298" s="2" t="str">
        <f>IF(F20&lt;&gt;"",F20,"")</f>
        <v>Новая локальная смета</v>
      </c>
      <c r="G298" s="2" t="str">
        <f>IF(G20&lt;&gt;"",G20,"")</f>
        <v>Новая локальная смета</v>
      </c>
      <c r="H298" s="2">
        <v>0</v>
      </c>
      <c r="I298" s="2"/>
      <c r="J298" s="2"/>
      <c r="K298" s="2"/>
      <c r="L298" s="2"/>
      <c r="M298" s="2"/>
      <c r="N298" s="2"/>
      <c r="O298" s="2">
        <f aca="true" t="shared" si="212" ref="O298:T298">ROUND(O38+O233+O269+AB298,2)</f>
        <v>3773135.06</v>
      </c>
      <c r="P298" s="2">
        <f t="shared" si="212"/>
        <v>2598730.04</v>
      </c>
      <c r="Q298" s="2">
        <f t="shared" si="212"/>
        <v>121233.14</v>
      </c>
      <c r="R298" s="2">
        <f t="shared" si="212"/>
        <v>11307.28</v>
      </c>
      <c r="S298" s="2">
        <f t="shared" si="212"/>
        <v>1053171.88</v>
      </c>
      <c r="T298" s="2">
        <f t="shared" si="212"/>
        <v>0</v>
      </c>
      <c r="U298" s="2">
        <f>U38+U233+U269+AH298</f>
        <v>6402.918013749999</v>
      </c>
      <c r="V298" s="2">
        <f>V38+V233+V269+AI298</f>
        <v>46.938375</v>
      </c>
      <c r="W298" s="2">
        <f>ROUND(W38+W233+W269+AJ298,2)</f>
        <v>0</v>
      </c>
      <c r="X298" s="2">
        <f>ROUND(X38+X233+X269+AK298,2)</f>
        <v>1085479.15</v>
      </c>
      <c r="Y298" s="2">
        <f>ROUND(Y38+Y233+Y269+AL298,2)</f>
        <v>622547.86</v>
      </c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>
        <f aca="true" t="shared" si="213" ref="AO298:BC298">ROUND(AO38+AO233+AO269+BX298,2)</f>
        <v>0</v>
      </c>
      <c r="AP298" s="2">
        <f t="shared" si="213"/>
        <v>0</v>
      </c>
      <c r="AQ298" s="2">
        <f t="shared" si="213"/>
        <v>0</v>
      </c>
      <c r="AR298" s="2">
        <f t="shared" si="213"/>
        <v>5553688.5</v>
      </c>
      <c r="AS298" s="2">
        <f t="shared" si="213"/>
        <v>5326024.64</v>
      </c>
      <c r="AT298" s="2">
        <f t="shared" si="213"/>
        <v>890.57</v>
      </c>
      <c r="AU298" s="2">
        <f t="shared" si="213"/>
        <v>226773.29</v>
      </c>
      <c r="AV298" s="2">
        <f t="shared" si="213"/>
        <v>2598730.04</v>
      </c>
      <c r="AW298" s="2">
        <f t="shared" si="213"/>
        <v>2598730.04</v>
      </c>
      <c r="AX298" s="2">
        <f t="shared" si="213"/>
        <v>0</v>
      </c>
      <c r="AY298" s="2">
        <f t="shared" si="213"/>
        <v>2598730.04</v>
      </c>
      <c r="AZ298" s="2">
        <f t="shared" si="213"/>
        <v>0</v>
      </c>
      <c r="BA298" s="2">
        <f t="shared" si="213"/>
        <v>0</v>
      </c>
      <c r="BB298" s="2">
        <f t="shared" si="213"/>
        <v>0</v>
      </c>
      <c r="BC298" s="2">
        <f t="shared" si="213"/>
        <v>0</v>
      </c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>
        <v>0</v>
      </c>
    </row>
    <row r="300" spans="1:23" ht="12.75">
      <c r="A300" s="4">
        <v>50</v>
      </c>
      <c r="B300" s="4">
        <v>0</v>
      </c>
      <c r="C300" s="4">
        <v>0</v>
      </c>
      <c r="D300" s="4">
        <v>1</v>
      </c>
      <c r="E300" s="4">
        <v>201</v>
      </c>
      <c r="F300" s="4">
        <f>ROUND(Source!O298,O300)</f>
        <v>3773135.06</v>
      </c>
      <c r="G300" s="4" t="s">
        <v>79</v>
      </c>
      <c r="H300" s="4" t="s">
        <v>80</v>
      </c>
      <c r="I300" s="4"/>
      <c r="J300" s="4"/>
      <c r="K300" s="4">
        <v>201</v>
      </c>
      <c r="L300" s="4">
        <v>1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3" ht="12.75">
      <c r="A301" s="4">
        <v>50</v>
      </c>
      <c r="B301" s="4">
        <v>0</v>
      </c>
      <c r="C301" s="4">
        <v>0</v>
      </c>
      <c r="D301" s="4">
        <v>1</v>
      </c>
      <c r="E301" s="4">
        <v>202</v>
      </c>
      <c r="F301" s="4">
        <f>ROUND(Source!P298,O301)</f>
        <v>2598730.04</v>
      </c>
      <c r="G301" s="4" t="s">
        <v>81</v>
      </c>
      <c r="H301" s="4" t="s">
        <v>82</v>
      </c>
      <c r="I301" s="4"/>
      <c r="J301" s="4"/>
      <c r="K301" s="4">
        <v>202</v>
      </c>
      <c r="L301" s="4">
        <v>2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3" ht="12.75">
      <c r="A302" s="4">
        <v>50</v>
      </c>
      <c r="B302" s="4">
        <v>0</v>
      </c>
      <c r="C302" s="4">
        <v>0</v>
      </c>
      <c r="D302" s="4">
        <v>1</v>
      </c>
      <c r="E302" s="4">
        <v>222</v>
      </c>
      <c r="F302" s="4">
        <f>ROUND(Source!AO298,O302)</f>
        <v>0</v>
      </c>
      <c r="G302" s="4" t="s">
        <v>83</v>
      </c>
      <c r="H302" s="4" t="s">
        <v>84</v>
      </c>
      <c r="I302" s="4"/>
      <c r="J302" s="4"/>
      <c r="K302" s="4">
        <v>222</v>
      </c>
      <c r="L302" s="4">
        <v>3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3" ht="12.75">
      <c r="A303" s="4">
        <v>50</v>
      </c>
      <c r="B303" s="4">
        <v>0</v>
      </c>
      <c r="C303" s="4">
        <v>0</v>
      </c>
      <c r="D303" s="4">
        <v>1</v>
      </c>
      <c r="E303" s="4">
        <v>225</v>
      </c>
      <c r="F303" s="4">
        <f>ROUND(Source!AV298,O303)</f>
        <v>2598730.04</v>
      </c>
      <c r="G303" s="4" t="s">
        <v>85</v>
      </c>
      <c r="H303" s="4" t="s">
        <v>86</v>
      </c>
      <c r="I303" s="4"/>
      <c r="J303" s="4"/>
      <c r="K303" s="4">
        <v>225</v>
      </c>
      <c r="L303" s="4">
        <v>4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3" ht="12.75">
      <c r="A304" s="4">
        <v>50</v>
      </c>
      <c r="B304" s="4">
        <v>0</v>
      </c>
      <c r="C304" s="4">
        <v>0</v>
      </c>
      <c r="D304" s="4">
        <v>1</v>
      </c>
      <c r="E304" s="4">
        <v>226</v>
      </c>
      <c r="F304" s="4">
        <f>ROUND(Source!AW298,O304)</f>
        <v>2598730.04</v>
      </c>
      <c r="G304" s="4" t="s">
        <v>87</v>
      </c>
      <c r="H304" s="4" t="s">
        <v>88</v>
      </c>
      <c r="I304" s="4"/>
      <c r="J304" s="4"/>
      <c r="K304" s="4">
        <v>226</v>
      </c>
      <c r="L304" s="4">
        <v>5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23" ht="12.75">
      <c r="A305" s="4">
        <v>50</v>
      </c>
      <c r="B305" s="4">
        <v>0</v>
      </c>
      <c r="C305" s="4">
        <v>0</v>
      </c>
      <c r="D305" s="4">
        <v>1</v>
      </c>
      <c r="E305" s="4">
        <v>227</v>
      </c>
      <c r="F305" s="4">
        <f>ROUND(Source!AX298,O305)</f>
        <v>0</v>
      </c>
      <c r="G305" s="4" t="s">
        <v>89</v>
      </c>
      <c r="H305" s="4" t="s">
        <v>90</v>
      </c>
      <c r="I305" s="4"/>
      <c r="J305" s="4"/>
      <c r="K305" s="4">
        <v>227</v>
      </c>
      <c r="L305" s="4">
        <v>6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23" ht="12.75">
      <c r="A306" s="4">
        <v>50</v>
      </c>
      <c r="B306" s="4">
        <v>0</v>
      </c>
      <c r="C306" s="4">
        <v>0</v>
      </c>
      <c r="D306" s="4">
        <v>1</v>
      </c>
      <c r="E306" s="4">
        <v>228</v>
      </c>
      <c r="F306" s="4">
        <f>ROUND(Source!AY298,O306)</f>
        <v>2598730.04</v>
      </c>
      <c r="G306" s="4" t="s">
        <v>91</v>
      </c>
      <c r="H306" s="4" t="s">
        <v>92</v>
      </c>
      <c r="I306" s="4"/>
      <c r="J306" s="4"/>
      <c r="K306" s="4">
        <v>228</v>
      </c>
      <c r="L306" s="4">
        <v>7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23" ht="12.75">
      <c r="A307" s="4">
        <v>50</v>
      </c>
      <c r="B307" s="4">
        <v>0</v>
      </c>
      <c r="C307" s="4">
        <v>0</v>
      </c>
      <c r="D307" s="4">
        <v>1</v>
      </c>
      <c r="E307" s="4">
        <v>216</v>
      </c>
      <c r="F307" s="4">
        <f>ROUND(Source!AP298,O307)</f>
        <v>0</v>
      </c>
      <c r="G307" s="4" t="s">
        <v>93</v>
      </c>
      <c r="H307" s="4" t="s">
        <v>94</v>
      </c>
      <c r="I307" s="4"/>
      <c r="J307" s="4"/>
      <c r="K307" s="4">
        <v>216</v>
      </c>
      <c r="L307" s="4">
        <v>8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23" ht="12.75">
      <c r="A308" s="4">
        <v>50</v>
      </c>
      <c r="B308" s="4">
        <v>0</v>
      </c>
      <c r="C308" s="4">
        <v>0</v>
      </c>
      <c r="D308" s="4">
        <v>1</v>
      </c>
      <c r="E308" s="4">
        <v>223</v>
      </c>
      <c r="F308" s="4">
        <f>ROUND(Source!AQ298,O308)</f>
        <v>0</v>
      </c>
      <c r="G308" s="4" t="s">
        <v>95</v>
      </c>
      <c r="H308" s="4" t="s">
        <v>96</v>
      </c>
      <c r="I308" s="4"/>
      <c r="J308" s="4"/>
      <c r="K308" s="4">
        <v>223</v>
      </c>
      <c r="L308" s="4">
        <v>9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/>
    </row>
    <row r="309" spans="1:23" ht="12.75">
      <c r="A309" s="4">
        <v>50</v>
      </c>
      <c r="B309" s="4">
        <v>0</v>
      </c>
      <c r="C309" s="4">
        <v>0</v>
      </c>
      <c r="D309" s="4">
        <v>1</v>
      </c>
      <c r="E309" s="4">
        <v>229</v>
      </c>
      <c r="F309" s="4">
        <f>ROUND(Source!AZ298,O309)</f>
        <v>0</v>
      </c>
      <c r="G309" s="4" t="s">
        <v>97</v>
      </c>
      <c r="H309" s="4" t="s">
        <v>98</v>
      </c>
      <c r="I309" s="4"/>
      <c r="J309" s="4"/>
      <c r="K309" s="4">
        <v>229</v>
      </c>
      <c r="L309" s="4">
        <v>10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/>
    </row>
    <row r="310" spans="1:23" ht="12.75">
      <c r="A310" s="4">
        <v>50</v>
      </c>
      <c r="B310" s="4">
        <v>0</v>
      </c>
      <c r="C310" s="4">
        <v>0</v>
      </c>
      <c r="D310" s="4">
        <v>1</v>
      </c>
      <c r="E310" s="4">
        <v>203</v>
      </c>
      <c r="F310" s="4">
        <f>ROUND(Source!Q298,O310)</f>
        <v>121233.14</v>
      </c>
      <c r="G310" s="4" t="s">
        <v>99</v>
      </c>
      <c r="H310" s="4" t="s">
        <v>100</v>
      </c>
      <c r="I310" s="4"/>
      <c r="J310" s="4"/>
      <c r="K310" s="4">
        <v>203</v>
      </c>
      <c r="L310" s="4">
        <v>11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23" ht="12.75">
      <c r="A311" s="4">
        <v>50</v>
      </c>
      <c r="B311" s="4">
        <v>0</v>
      </c>
      <c r="C311" s="4">
        <v>0</v>
      </c>
      <c r="D311" s="4">
        <v>1</v>
      </c>
      <c r="E311" s="4">
        <v>231</v>
      </c>
      <c r="F311" s="4">
        <f>ROUND(Source!BB298,O311)</f>
        <v>0</v>
      </c>
      <c r="G311" s="4" t="s">
        <v>101</v>
      </c>
      <c r="H311" s="4" t="s">
        <v>102</v>
      </c>
      <c r="I311" s="4"/>
      <c r="J311" s="4"/>
      <c r="K311" s="4">
        <v>231</v>
      </c>
      <c r="L311" s="4">
        <v>12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23" ht="12.75">
      <c r="A312" s="4">
        <v>50</v>
      </c>
      <c r="B312" s="4">
        <v>0</v>
      </c>
      <c r="C312" s="4">
        <v>0</v>
      </c>
      <c r="D312" s="4">
        <v>1</v>
      </c>
      <c r="E312" s="4">
        <v>204</v>
      </c>
      <c r="F312" s="4">
        <f>ROUND(Source!R298,O312)</f>
        <v>11307.28</v>
      </c>
      <c r="G312" s="4" t="s">
        <v>103</v>
      </c>
      <c r="H312" s="4" t="s">
        <v>104</v>
      </c>
      <c r="I312" s="4"/>
      <c r="J312" s="4"/>
      <c r="K312" s="4">
        <v>204</v>
      </c>
      <c r="L312" s="4">
        <v>13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23" ht="12.75">
      <c r="A313" s="4">
        <v>50</v>
      </c>
      <c r="B313" s="4">
        <v>0</v>
      </c>
      <c r="C313" s="4">
        <v>0</v>
      </c>
      <c r="D313" s="4">
        <v>1</v>
      </c>
      <c r="E313" s="4">
        <v>205</v>
      </c>
      <c r="F313" s="4">
        <f>ROUND(Source!S298,O313)</f>
        <v>1053171.88</v>
      </c>
      <c r="G313" s="4" t="s">
        <v>105</v>
      </c>
      <c r="H313" s="4" t="s">
        <v>106</v>
      </c>
      <c r="I313" s="4"/>
      <c r="J313" s="4"/>
      <c r="K313" s="4">
        <v>205</v>
      </c>
      <c r="L313" s="4">
        <v>14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/>
    </row>
    <row r="314" spans="1:23" ht="12.75">
      <c r="A314" s="4">
        <v>50</v>
      </c>
      <c r="B314" s="4">
        <v>0</v>
      </c>
      <c r="C314" s="4">
        <v>0</v>
      </c>
      <c r="D314" s="4">
        <v>1</v>
      </c>
      <c r="E314" s="4">
        <v>232</v>
      </c>
      <c r="F314" s="4">
        <f>ROUND(Source!BC298,O314)</f>
        <v>0</v>
      </c>
      <c r="G314" s="4" t="s">
        <v>107</v>
      </c>
      <c r="H314" s="4" t="s">
        <v>108</v>
      </c>
      <c r="I314" s="4"/>
      <c r="J314" s="4"/>
      <c r="K314" s="4">
        <v>232</v>
      </c>
      <c r="L314" s="4">
        <v>15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/>
    </row>
    <row r="315" spans="1:23" ht="12.75">
      <c r="A315" s="4">
        <v>50</v>
      </c>
      <c r="B315" s="4">
        <v>0</v>
      </c>
      <c r="C315" s="4">
        <v>0</v>
      </c>
      <c r="D315" s="4">
        <v>1</v>
      </c>
      <c r="E315" s="4">
        <v>214</v>
      </c>
      <c r="F315" s="4">
        <f>ROUND(Source!AS298,O315)</f>
        <v>5326024.64</v>
      </c>
      <c r="G315" s="4" t="s">
        <v>109</v>
      </c>
      <c r="H315" s="4" t="s">
        <v>110</v>
      </c>
      <c r="I315" s="4"/>
      <c r="J315" s="4"/>
      <c r="K315" s="4">
        <v>214</v>
      </c>
      <c r="L315" s="4">
        <v>16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23" ht="12.75">
      <c r="A316" s="4">
        <v>50</v>
      </c>
      <c r="B316" s="4">
        <v>0</v>
      </c>
      <c r="C316" s="4">
        <v>0</v>
      </c>
      <c r="D316" s="4">
        <v>1</v>
      </c>
      <c r="E316" s="4">
        <v>215</v>
      </c>
      <c r="F316" s="4">
        <f>ROUND(Source!AT298,O316)</f>
        <v>890.57</v>
      </c>
      <c r="G316" s="4" t="s">
        <v>111</v>
      </c>
      <c r="H316" s="4" t="s">
        <v>112</v>
      </c>
      <c r="I316" s="4"/>
      <c r="J316" s="4"/>
      <c r="K316" s="4">
        <v>215</v>
      </c>
      <c r="L316" s="4">
        <v>17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/>
    </row>
    <row r="317" spans="1:23" ht="12.75">
      <c r="A317" s="4">
        <v>50</v>
      </c>
      <c r="B317" s="4">
        <v>0</v>
      </c>
      <c r="C317" s="4">
        <v>0</v>
      </c>
      <c r="D317" s="4">
        <v>1</v>
      </c>
      <c r="E317" s="4">
        <v>217</v>
      </c>
      <c r="F317" s="4">
        <f>ROUND(Source!AU298,O317)</f>
        <v>226773.29</v>
      </c>
      <c r="G317" s="4" t="s">
        <v>113</v>
      </c>
      <c r="H317" s="4" t="s">
        <v>114</v>
      </c>
      <c r="I317" s="4"/>
      <c r="J317" s="4"/>
      <c r="K317" s="4">
        <v>217</v>
      </c>
      <c r="L317" s="4">
        <v>18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/>
    </row>
    <row r="318" spans="1:23" ht="12.75">
      <c r="A318" s="4">
        <v>50</v>
      </c>
      <c r="B318" s="4">
        <v>0</v>
      </c>
      <c r="C318" s="4">
        <v>0</v>
      </c>
      <c r="D318" s="4">
        <v>1</v>
      </c>
      <c r="E318" s="4">
        <v>230</v>
      </c>
      <c r="F318" s="4">
        <f>ROUND(Source!BA298,O318)</f>
        <v>0</v>
      </c>
      <c r="G318" s="4" t="s">
        <v>115</v>
      </c>
      <c r="H318" s="4" t="s">
        <v>116</v>
      </c>
      <c r="I318" s="4"/>
      <c r="J318" s="4"/>
      <c r="K318" s="4">
        <v>230</v>
      </c>
      <c r="L318" s="4">
        <v>19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19" spans="1:23" ht="12.75">
      <c r="A319" s="4">
        <v>50</v>
      </c>
      <c r="B319" s="4">
        <v>0</v>
      </c>
      <c r="C319" s="4">
        <v>0</v>
      </c>
      <c r="D319" s="4">
        <v>1</v>
      </c>
      <c r="E319" s="4">
        <v>206</v>
      </c>
      <c r="F319" s="4">
        <f>ROUND(Source!T298,O319)</f>
        <v>0</v>
      </c>
      <c r="G319" s="4" t="s">
        <v>117</v>
      </c>
      <c r="H319" s="4" t="s">
        <v>118</v>
      </c>
      <c r="I319" s="4"/>
      <c r="J319" s="4"/>
      <c r="K319" s="4">
        <v>206</v>
      </c>
      <c r="L319" s="4">
        <v>20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/>
    </row>
    <row r="320" spans="1:23" ht="12.75">
      <c r="A320" s="4">
        <v>50</v>
      </c>
      <c r="B320" s="4">
        <v>0</v>
      </c>
      <c r="C320" s="4">
        <v>0</v>
      </c>
      <c r="D320" s="4">
        <v>1</v>
      </c>
      <c r="E320" s="4">
        <v>207</v>
      </c>
      <c r="F320" s="4">
        <f>Source!U298</f>
        <v>6402.918013749999</v>
      </c>
      <c r="G320" s="4" t="s">
        <v>119</v>
      </c>
      <c r="H320" s="4" t="s">
        <v>120</v>
      </c>
      <c r="I320" s="4"/>
      <c r="J320" s="4"/>
      <c r="K320" s="4">
        <v>207</v>
      </c>
      <c r="L320" s="4">
        <v>21</v>
      </c>
      <c r="M320" s="4">
        <v>3</v>
      </c>
      <c r="N320" s="4" t="s">
        <v>3</v>
      </c>
      <c r="O320" s="4">
        <v>-1</v>
      </c>
      <c r="P320" s="4"/>
      <c r="Q320" s="4"/>
      <c r="R320" s="4"/>
      <c r="S320" s="4"/>
      <c r="T320" s="4"/>
      <c r="U320" s="4"/>
      <c r="V320" s="4"/>
      <c r="W320" s="4"/>
    </row>
    <row r="321" spans="1:23" ht="12.75">
      <c r="A321" s="4">
        <v>50</v>
      </c>
      <c r="B321" s="4">
        <v>0</v>
      </c>
      <c r="C321" s="4">
        <v>0</v>
      </c>
      <c r="D321" s="4">
        <v>1</v>
      </c>
      <c r="E321" s="4">
        <v>208</v>
      </c>
      <c r="F321" s="4">
        <f>Source!V298</f>
        <v>46.938375</v>
      </c>
      <c r="G321" s="4" t="s">
        <v>121</v>
      </c>
      <c r="H321" s="4" t="s">
        <v>122</v>
      </c>
      <c r="I321" s="4"/>
      <c r="J321" s="4"/>
      <c r="K321" s="4">
        <v>208</v>
      </c>
      <c r="L321" s="4">
        <v>22</v>
      </c>
      <c r="M321" s="4">
        <v>3</v>
      </c>
      <c r="N321" s="4" t="s">
        <v>3</v>
      </c>
      <c r="O321" s="4">
        <v>-1</v>
      </c>
      <c r="P321" s="4"/>
      <c r="Q321" s="4"/>
      <c r="R321" s="4"/>
      <c r="S321" s="4"/>
      <c r="T321" s="4"/>
      <c r="U321" s="4"/>
      <c r="V321" s="4"/>
      <c r="W321" s="4"/>
    </row>
    <row r="322" spans="1:23" ht="12.75">
      <c r="A322" s="4">
        <v>50</v>
      </c>
      <c r="B322" s="4">
        <v>0</v>
      </c>
      <c r="C322" s="4">
        <v>0</v>
      </c>
      <c r="D322" s="4">
        <v>1</v>
      </c>
      <c r="E322" s="4">
        <v>209</v>
      </c>
      <c r="F322" s="4">
        <f>ROUND(Source!W298,O322)</f>
        <v>0</v>
      </c>
      <c r="G322" s="4" t="s">
        <v>123</v>
      </c>
      <c r="H322" s="4" t="s">
        <v>124</v>
      </c>
      <c r="I322" s="4"/>
      <c r="J322" s="4"/>
      <c r="K322" s="4">
        <v>209</v>
      </c>
      <c r="L322" s="4">
        <v>23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/>
    </row>
    <row r="323" spans="1:23" ht="12.75">
      <c r="A323" s="4">
        <v>50</v>
      </c>
      <c r="B323" s="4">
        <v>0</v>
      </c>
      <c r="C323" s="4">
        <v>0</v>
      </c>
      <c r="D323" s="4">
        <v>1</v>
      </c>
      <c r="E323" s="4">
        <v>210</v>
      </c>
      <c r="F323" s="4">
        <f>ROUND(Source!X298,O323)</f>
        <v>1085479.15</v>
      </c>
      <c r="G323" s="4" t="s">
        <v>125</v>
      </c>
      <c r="H323" s="4" t="s">
        <v>126</v>
      </c>
      <c r="I323" s="4"/>
      <c r="J323" s="4"/>
      <c r="K323" s="4">
        <v>210</v>
      </c>
      <c r="L323" s="4">
        <v>24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/>
    </row>
    <row r="324" spans="1:23" ht="12.75">
      <c r="A324" s="4">
        <v>50</v>
      </c>
      <c r="B324" s="4">
        <v>0</v>
      </c>
      <c r="C324" s="4">
        <v>0</v>
      </c>
      <c r="D324" s="4">
        <v>1</v>
      </c>
      <c r="E324" s="4">
        <v>211</v>
      </c>
      <c r="F324" s="4">
        <f>ROUND(Source!Y298,O324)</f>
        <v>622547.86</v>
      </c>
      <c r="G324" s="4" t="s">
        <v>127</v>
      </c>
      <c r="H324" s="4" t="s">
        <v>128</v>
      </c>
      <c r="I324" s="4"/>
      <c r="J324" s="4"/>
      <c r="K324" s="4">
        <v>211</v>
      </c>
      <c r="L324" s="4">
        <v>25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/>
    </row>
    <row r="325" spans="1:23" ht="12.75">
      <c r="A325" s="4">
        <v>50</v>
      </c>
      <c r="B325" s="4">
        <v>0</v>
      </c>
      <c r="C325" s="4">
        <v>0</v>
      </c>
      <c r="D325" s="4">
        <v>1</v>
      </c>
      <c r="E325" s="4">
        <v>224</v>
      </c>
      <c r="F325" s="4">
        <f>ROUND(Source!AR298,O325)</f>
        <v>5553688.5</v>
      </c>
      <c r="G325" s="4" t="s">
        <v>129</v>
      </c>
      <c r="H325" s="4" t="s">
        <v>130</v>
      </c>
      <c r="I325" s="4"/>
      <c r="J325" s="4"/>
      <c r="K325" s="4">
        <v>224</v>
      </c>
      <c r="L325" s="4">
        <v>26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/>
    </row>
    <row r="327" spans="1:206" ht="12.75">
      <c r="A327" s="2">
        <v>51</v>
      </c>
      <c r="B327" s="2">
        <f>B12</f>
        <v>389</v>
      </c>
      <c r="C327" s="2">
        <f>A12</f>
        <v>1</v>
      </c>
      <c r="D327" s="2">
        <f>ROW(A12)</f>
        <v>12</v>
      </c>
      <c r="E327" s="2"/>
      <c r="F327" s="2" t="str">
        <f>IF(F12&lt;&gt;"",F12,"")</f>
        <v>Новый объект_(Копия)</v>
      </c>
      <c r="G327" s="2" t="str">
        <f>IF(G12&lt;&gt;"",G12,"")</f>
        <v>120319-1_КРОВЛЯ_ТЕР_лен обл_(Копия)</v>
      </c>
      <c r="H327" s="2">
        <v>0</v>
      </c>
      <c r="I327" s="2"/>
      <c r="J327" s="2"/>
      <c r="K327" s="2"/>
      <c r="L327" s="2"/>
      <c r="M327" s="2"/>
      <c r="N327" s="2"/>
      <c r="O327" s="2">
        <f aca="true" t="shared" si="214" ref="O327:T327">ROUND(O298,2)</f>
        <v>3773135.06</v>
      </c>
      <c r="P327" s="2">
        <f t="shared" si="214"/>
        <v>2598730.04</v>
      </c>
      <c r="Q327" s="2">
        <f t="shared" si="214"/>
        <v>121233.14</v>
      </c>
      <c r="R327" s="2">
        <f t="shared" si="214"/>
        <v>11307.28</v>
      </c>
      <c r="S327" s="2">
        <f t="shared" si="214"/>
        <v>1053171.88</v>
      </c>
      <c r="T327" s="2">
        <f t="shared" si="214"/>
        <v>0</v>
      </c>
      <c r="U327" s="2">
        <f>U298</f>
        <v>6402.918013749999</v>
      </c>
      <c r="V327" s="2">
        <f>V298</f>
        <v>46.938375</v>
      </c>
      <c r="W327" s="2">
        <f>ROUND(W298,2)</f>
        <v>0</v>
      </c>
      <c r="X327" s="2">
        <f>ROUND(X298,2)</f>
        <v>1085479.15</v>
      </c>
      <c r="Y327" s="2">
        <f>ROUND(Y298,2)</f>
        <v>622547.86</v>
      </c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>
        <f aca="true" t="shared" si="215" ref="AO327:BC327">ROUND(AO298,2)</f>
        <v>0</v>
      </c>
      <c r="AP327" s="2">
        <f t="shared" si="215"/>
        <v>0</v>
      </c>
      <c r="AQ327" s="2">
        <f t="shared" si="215"/>
        <v>0</v>
      </c>
      <c r="AR327" s="2">
        <f t="shared" si="215"/>
        <v>5553688.5</v>
      </c>
      <c r="AS327" s="2">
        <f t="shared" si="215"/>
        <v>5326024.64</v>
      </c>
      <c r="AT327" s="2">
        <f t="shared" si="215"/>
        <v>890.57</v>
      </c>
      <c r="AU327" s="2">
        <f t="shared" si="215"/>
        <v>226773.29</v>
      </c>
      <c r="AV327" s="2">
        <f t="shared" si="215"/>
        <v>2598730.04</v>
      </c>
      <c r="AW327" s="2">
        <f t="shared" si="215"/>
        <v>2598730.04</v>
      </c>
      <c r="AX327" s="2">
        <f t="shared" si="215"/>
        <v>0</v>
      </c>
      <c r="AY327" s="2">
        <f t="shared" si="215"/>
        <v>2598730.04</v>
      </c>
      <c r="AZ327" s="2">
        <f t="shared" si="215"/>
        <v>0</v>
      </c>
      <c r="BA327" s="2">
        <f t="shared" si="215"/>
        <v>0</v>
      </c>
      <c r="BB327" s="2">
        <f t="shared" si="215"/>
        <v>0</v>
      </c>
      <c r="BC327" s="2">
        <f t="shared" si="215"/>
        <v>0</v>
      </c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>
        <v>0</v>
      </c>
    </row>
    <row r="329" spans="1:23" ht="12.75">
      <c r="A329" s="4">
        <v>50</v>
      </c>
      <c r="B329" s="4">
        <v>0</v>
      </c>
      <c r="C329" s="4">
        <v>0</v>
      </c>
      <c r="D329" s="4">
        <v>1</v>
      </c>
      <c r="E329" s="4">
        <v>201</v>
      </c>
      <c r="F329" s="4">
        <f>ROUND(Source!O327,O329)</f>
        <v>3773135.06</v>
      </c>
      <c r="G329" s="4" t="s">
        <v>79</v>
      </c>
      <c r="H329" s="4" t="s">
        <v>80</v>
      </c>
      <c r="I329" s="4"/>
      <c r="J329" s="4"/>
      <c r="K329" s="4">
        <v>201</v>
      </c>
      <c r="L329" s="4">
        <v>1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/>
    </row>
    <row r="330" spans="1:23" ht="12.75">
      <c r="A330" s="4">
        <v>50</v>
      </c>
      <c r="B330" s="4">
        <v>0</v>
      </c>
      <c r="C330" s="4">
        <v>0</v>
      </c>
      <c r="D330" s="4">
        <v>1</v>
      </c>
      <c r="E330" s="4">
        <v>202</v>
      </c>
      <c r="F330" s="4">
        <f>ROUND(Source!P327,O330)</f>
        <v>2598730.04</v>
      </c>
      <c r="G330" s="4" t="s">
        <v>81</v>
      </c>
      <c r="H330" s="4" t="s">
        <v>82</v>
      </c>
      <c r="I330" s="4"/>
      <c r="J330" s="4"/>
      <c r="K330" s="4">
        <v>202</v>
      </c>
      <c r="L330" s="4">
        <v>2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/>
    </row>
    <row r="331" spans="1:23" ht="12.75">
      <c r="A331" s="4">
        <v>50</v>
      </c>
      <c r="B331" s="4">
        <v>0</v>
      </c>
      <c r="C331" s="4">
        <v>0</v>
      </c>
      <c r="D331" s="4">
        <v>1</v>
      </c>
      <c r="E331" s="4">
        <v>222</v>
      </c>
      <c r="F331" s="4">
        <f>ROUND(Source!AO327,O331)</f>
        <v>0</v>
      </c>
      <c r="G331" s="4" t="s">
        <v>83</v>
      </c>
      <c r="H331" s="4" t="s">
        <v>84</v>
      </c>
      <c r="I331" s="4"/>
      <c r="J331" s="4"/>
      <c r="K331" s="4">
        <v>222</v>
      </c>
      <c r="L331" s="4">
        <v>3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3" ht="12.75">
      <c r="A332" s="4">
        <v>50</v>
      </c>
      <c r="B332" s="4">
        <v>0</v>
      </c>
      <c r="C332" s="4">
        <v>0</v>
      </c>
      <c r="D332" s="4">
        <v>1</v>
      </c>
      <c r="E332" s="4">
        <v>225</v>
      </c>
      <c r="F332" s="4">
        <f>ROUND(Source!AV327,O332)</f>
        <v>2598730.04</v>
      </c>
      <c r="G332" s="4" t="s">
        <v>85</v>
      </c>
      <c r="H332" s="4" t="s">
        <v>86</v>
      </c>
      <c r="I332" s="4"/>
      <c r="J332" s="4"/>
      <c r="K332" s="4">
        <v>225</v>
      </c>
      <c r="L332" s="4">
        <v>4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3" ht="12.75">
      <c r="A333" s="4">
        <v>50</v>
      </c>
      <c r="B333" s="4">
        <v>0</v>
      </c>
      <c r="C333" s="4">
        <v>0</v>
      </c>
      <c r="D333" s="4">
        <v>1</v>
      </c>
      <c r="E333" s="4">
        <v>226</v>
      </c>
      <c r="F333" s="4">
        <f>ROUND(Source!AW327,O333)</f>
        <v>2598730.04</v>
      </c>
      <c r="G333" s="4" t="s">
        <v>87</v>
      </c>
      <c r="H333" s="4" t="s">
        <v>88</v>
      </c>
      <c r="I333" s="4"/>
      <c r="J333" s="4"/>
      <c r="K333" s="4">
        <v>226</v>
      </c>
      <c r="L333" s="4">
        <v>5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3" ht="12.75">
      <c r="A334" s="4">
        <v>50</v>
      </c>
      <c r="B334" s="4">
        <v>0</v>
      </c>
      <c r="C334" s="4">
        <v>0</v>
      </c>
      <c r="D334" s="4">
        <v>1</v>
      </c>
      <c r="E334" s="4">
        <v>227</v>
      </c>
      <c r="F334" s="4">
        <f>ROUND(Source!AX327,O334)</f>
        <v>0</v>
      </c>
      <c r="G334" s="4" t="s">
        <v>89</v>
      </c>
      <c r="H334" s="4" t="s">
        <v>90</v>
      </c>
      <c r="I334" s="4"/>
      <c r="J334" s="4"/>
      <c r="K334" s="4">
        <v>227</v>
      </c>
      <c r="L334" s="4">
        <v>6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3" ht="12.75">
      <c r="A335" s="4">
        <v>50</v>
      </c>
      <c r="B335" s="4">
        <v>0</v>
      </c>
      <c r="C335" s="4">
        <v>0</v>
      </c>
      <c r="D335" s="4">
        <v>1</v>
      </c>
      <c r="E335" s="4">
        <v>228</v>
      </c>
      <c r="F335" s="4">
        <f>ROUND(Source!AY327,O335)</f>
        <v>2598730.04</v>
      </c>
      <c r="G335" s="4" t="s">
        <v>91</v>
      </c>
      <c r="H335" s="4" t="s">
        <v>92</v>
      </c>
      <c r="I335" s="4"/>
      <c r="J335" s="4"/>
      <c r="K335" s="4">
        <v>228</v>
      </c>
      <c r="L335" s="4">
        <v>7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/>
    </row>
    <row r="336" spans="1:23" ht="12.75">
      <c r="A336" s="4">
        <v>50</v>
      </c>
      <c r="B336" s="4">
        <v>0</v>
      </c>
      <c r="C336" s="4">
        <v>0</v>
      </c>
      <c r="D336" s="4">
        <v>1</v>
      </c>
      <c r="E336" s="4">
        <v>216</v>
      </c>
      <c r="F336" s="4">
        <f>ROUND(Source!AP327,O336)</f>
        <v>0</v>
      </c>
      <c r="G336" s="4" t="s">
        <v>93</v>
      </c>
      <c r="H336" s="4" t="s">
        <v>94</v>
      </c>
      <c r="I336" s="4"/>
      <c r="J336" s="4"/>
      <c r="K336" s="4">
        <v>216</v>
      </c>
      <c r="L336" s="4">
        <v>8</v>
      </c>
      <c r="M336" s="4">
        <v>3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/>
    </row>
    <row r="337" spans="1:23" ht="12.75">
      <c r="A337" s="4">
        <v>50</v>
      </c>
      <c r="B337" s="4">
        <v>0</v>
      </c>
      <c r="C337" s="4">
        <v>0</v>
      </c>
      <c r="D337" s="4">
        <v>1</v>
      </c>
      <c r="E337" s="4">
        <v>223</v>
      </c>
      <c r="F337" s="4">
        <f>ROUND(Source!AQ327,O337)</f>
        <v>0</v>
      </c>
      <c r="G337" s="4" t="s">
        <v>95</v>
      </c>
      <c r="H337" s="4" t="s">
        <v>96</v>
      </c>
      <c r="I337" s="4"/>
      <c r="J337" s="4"/>
      <c r="K337" s="4">
        <v>223</v>
      </c>
      <c r="L337" s="4">
        <v>9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/>
    </row>
    <row r="338" spans="1:23" ht="12.75">
      <c r="A338" s="4">
        <v>50</v>
      </c>
      <c r="B338" s="4">
        <v>0</v>
      </c>
      <c r="C338" s="4">
        <v>0</v>
      </c>
      <c r="D338" s="4">
        <v>1</v>
      </c>
      <c r="E338" s="4">
        <v>229</v>
      </c>
      <c r="F338" s="4">
        <f>ROUND(Source!AZ327,O338)</f>
        <v>0</v>
      </c>
      <c r="G338" s="4" t="s">
        <v>97</v>
      </c>
      <c r="H338" s="4" t="s">
        <v>98</v>
      </c>
      <c r="I338" s="4"/>
      <c r="J338" s="4"/>
      <c r="K338" s="4">
        <v>229</v>
      </c>
      <c r="L338" s="4">
        <v>10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/>
    </row>
    <row r="339" spans="1:23" ht="12.75">
      <c r="A339" s="4">
        <v>50</v>
      </c>
      <c r="B339" s="4">
        <v>0</v>
      </c>
      <c r="C339" s="4">
        <v>0</v>
      </c>
      <c r="D339" s="4">
        <v>1</v>
      </c>
      <c r="E339" s="4">
        <v>203</v>
      </c>
      <c r="F339" s="4">
        <f>ROUND(Source!Q327,O339)</f>
        <v>121233.14</v>
      </c>
      <c r="G339" s="4" t="s">
        <v>99</v>
      </c>
      <c r="H339" s="4" t="s">
        <v>100</v>
      </c>
      <c r="I339" s="4"/>
      <c r="J339" s="4"/>
      <c r="K339" s="4">
        <v>203</v>
      </c>
      <c r="L339" s="4">
        <v>11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/>
    </row>
    <row r="340" spans="1:23" ht="12.75">
      <c r="A340" s="4">
        <v>50</v>
      </c>
      <c r="B340" s="4">
        <v>0</v>
      </c>
      <c r="C340" s="4">
        <v>0</v>
      </c>
      <c r="D340" s="4">
        <v>1</v>
      </c>
      <c r="E340" s="4">
        <v>231</v>
      </c>
      <c r="F340" s="4">
        <f>ROUND(Source!BB327,O340)</f>
        <v>0</v>
      </c>
      <c r="G340" s="4" t="s">
        <v>101</v>
      </c>
      <c r="H340" s="4" t="s">
        <v>102</v>
      </c>
      <c r="I340" s="4"/>
      <c r="J340" s="4"/>
      <c r="K340" s="4">
        <v>231</v>
      </c>
      <c r="L340" s="4">
        <v>12</v>
      </c>
      <c r="M340" s="4">
        <v>3</v>
      </c>
      <c r="N340" s="4" t="s">
        <v>3</v>
      </c>
      <c r="O340" s="4">
        <v>2</v>
      </c>
      <c r="P340" s="4"/>
      <c r="Q340" s="4"/>
      <c r="R340" s="4"/>
      <c r="S340" s="4"/>
      <c r="T340" s="4"/>
      <c r="U340" s="4"/>
      <c r="V340" s="4"/>
      <c r="W340" s="4"/>
    </row>
    <row r="341" spans="1:23" ht="12.75">
      <c r="A341" s="4">
        <v>50</v>
      </c>
      <c r="B341" s="4">
        <v>0</v>
      </c>
      <c r="C341" s="4">
        <v>0</v>
      </c>
      <c r="D341" s="4">
        <v>1</v>
      </c>
      <c r="E341" s="4">
        <v>204</v>
      </c>
      <c r="F341" s="4">
        <f>ROUND(Source!R327,O341)</f>
        <v>11307.28</v>
      </c>
      <c r="G341" s="4" t="s">
        <v>103</v>
      </c>
      <c r="H341" s="4" t="s">
        <v>104</v>
      </c>
      <c r="I341" s="4"/>
      <c r="J341" s="4"/>
      <c r="K341" s="4">
        <v>204</v>
      </c>
      <c r="L341" s="4">
        <v>13</v>
      </c>
      <c r="M341" s="4">
        <v>3</v>
      </c>
      <c r="N341" s="4" t="s">
        <v>3</v>
      </c>
      <c r="O341" s="4">
        <v>2</v>
      </c>
      <c r="P341" s="4"/>
      <c r="Q341" s="4"/>
      <c r="R341" s="4"/>
      <c r="S341" s="4"/>
      <c r="T341" s="4"/>
      <c r="U341" s="4"/>
      <c r="V341" s="4"/>
      <c r="W341" s="4"/>
    </row>
    <row r="342" spans="1:23" ht="12.75">
      <c r="A342" s="4">
        <v>50</v>
      </c>
      <c r="B342" s="4">
        <v>0</v>
      </c>
      <c r="C342" s="4">
        <v>0</v>
      </c>
      <c r="D342" s="4">
        <v>1</v>
      </c>
      <c r="E342" s="4">
        <v>205</v>
      </c>
      <c r="F342" s="4">
        <f>ROUND(Source!S327,O342)</f>
        <v>1053171.88</v>
      </c>
      <c r="G342" s="4" t="s">
        <v>105</v>
      </c>
      <c r="H342" s="4" t="s">
        <v>106</v>
      </c>
      <c r="I342" s="4"/>
      <c r="J342" s="4"/>
      <c r="K342" s="4">
        <v>205</v>
      </c>
      <c r="L342" s="4">
        <v>14</v>
      </c>
      <c r="M342" s="4">
        <v>3</v>
      </c>
      <c r="N342" s="4" t="s">
        <v>3</v>
      </c>
      <c r="O342" s="4">
        <v>2</v>
      </c>
      <c r="P342" s="4"/>
      <c r="Q342" s="4"/>
      <c r="R342" s="4"/>
      <c r="S342" s="4"/>
      <c r="T342" s="4"/>
      <c r="U342" s="4"/>
      <c r="V342" s="4"/>
      <c r="W342" s="4"/>
    </row>
    <row r="343" spans="1:23" ht="12.75">
      <c r="A343" s="4">
        <v>50</v>
      </c>
      <c r="B343" s="4">
        <v>0</v>
      </c>
      <c r="C343" s="4">
        <v>0</v>
      </c>
      <c r="D343" s="4">
        <v>1</v>
      </c>
      <c r="E343" s="4">
        <v>232</v>
      </c>
      <c r="F343" s="4">
        <f>ROUND(Source!BC327,O343)</f>
        <v>0</v>
      </c>
      <c r="G343" s="4" t="s">
        <v>107</v>
      </c>
      <c r="H343" s="4" t="s">
        <v>108</v>
      </c>
      <c r="I343" s="4"/>
      <c r="J343" s="4"/>
      <c r="K343" s="4">
        <v>232</v>
      </c>
      <c r="L343" s="4">
        <v>15</v>
      </c>
      <c r="M343" s="4">
        <v>3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/>
    </row>
    <row r="344" spans="1:23" ht="12.75">
      <c r="A344" s="4">
        <v>50</v>
      </c>
      <c r="B344" s="4">
        <v>0</v>
      </c>
      <c r="C344" s="4">
        <v>0</v>
      </c>
      <c r="D344" s="4">
        <v>1</v>
      </c>
      <c r="E344" s="4">
        <v>214</v>
      </c>
      <c r="F344" s="4">
        <f>ROUND(Source!AS327,O344)</f>
        <v>5326024.64</v>
      </c>
      <c r="G344" s="4" t="s">
        <v>109</v>
      </c>
      <c r="H344" s="4" t="s">
        <v>110</v>
      </c>
      <c r="I344" s="4"/>
      <c r="J344" s="4"/>
      <c r="K344" s="4">
        <v>214</v>
      </c>
      <c r="L344" s="4">
        <v>16</v>
      </c>
      <c r="M344" s="4">
        <v>3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/>
    </row>
    <row r="345" spans="1:23" ht="12.75">
      <c r="A345" s="4">
        <v>50</v>
      </c>
      <c r="B345" s="4">
        <v>0</v>
      </c>
      <c r="C345" s="4">
        <v>0</v>
      </c>
      <c r="D345" s="4">
        <v>1</v>
      </c>
      <c r="E345" s="4">
        <v>215</v>
      </c>
      <c r="F345" s="4">
        <f>ROUND(Source!AT327,O345)</f>
        <v>890.57</v>
      </c>
      <c r="G345" s="4" t="s">
        <v>111</v>
      </c>
      <c r="H345" s="4" t="s">
        <v>112</v>
      </c>
      <c r="I345" s="4"/>
      <c r="J345" s="4"/>
      <c r="K345" s="4">
        <v>215</v>
      </c>
      <c r="L345" s="4">
        <v>17</v>
      </c>
      <c r="M345" s="4">
        <v>3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/>
    </row>
    <row r="346" spans="1:23" ht="12.75">
      <c r="A346" s="4">
        <v>50</v>
      </c>
      <c r="B346" s="4">
        <v>0</v>
      </c>
      <c r="C346" s="4">
        <v>0</v>
      </c>
      <c r="D346" s="4">
        <v>1</v>
      </c>
      <c r="E346" s="4">
        <v>217</v>
      </c>
      <c r="F346" s="4">
        <f>ROUND(Source!AU327,O346)</f>
        <v>226773.29</v>
      </c>
      <c r="G346" s="4" t="s">
        <v>113</v>
      </c>
      <c r="H346" s="4" t="s">
        <v>114</v>
      </c>
      <c r="I346" s="4"/>
      <c r="J346" s="4"/>
      <c r="K346" s="4">
        <v>217</v>
      </c>
      <c r="L346" s="4">
        <v>18</v>
      </c>
      <c r="M346" s="4">
        <v>3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/>
    </row>
    <row r="347" spans="1:23" ht="12.75">
      <c r="A347" s="4">
        <v>50</v>
      </c>
      <c r="B347" s="4">
        <v>0</v>
      </c>
      <c r="C347" s="4">
        <v>0</v>
      </c>
      <c r="D347" s="4">
        <v>1</v>
      </c>
      <c r="E347" s="4">
        <v>230</v>
      </c>
      <c r="F347" s="4">
        <f>ROUND(Source!BA327,O347)</f>
        <v>0</v>
      </c>
      <c r="G347" s="4" t="s">
        <v>115</v>
      </c>
      <c r="H347" s="4" t="s">
        <v>116</v>
      </c>
      <c r="I347" s="4"/>
      <c r="J347" s="4"/>
      <c r="K347" s="4">
        <v>230</v>
      </c>
      <c r="L347" s="4">
        <v>19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/>
    </row>
    <row r="348" spans="1:23" ht="12.75">
      <c r="A348" s="4">
        <v>50</v>
      </c>
      <c r="B348" s="4">
        <v>0</v>
      </c>
      <c r="C348" s="4">
        <v>0</v>
      </c>
      <c r="D348" s="4">
        <v>1</v>
      </c>
      <c r="E348" s="4">
        <v>206</v>
      </c>
      <c r="F348" s="4">
        <f>ROUND(Source!T327,O348)</f>
        <v>0</v>
      </c>
      <c r="G348" s="4" t="s">
        <v>117</v>
      </c>
      <c r="H348" s="4" t="s">
        <v>118</v>
      </c>
      <c r="I348" s="4"/>
      <c r="J348" s="4"/>
      <c r="K348" s="4">
        <v>206</v>
      </c>
      <c r="L348" s="4">
        <v>20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/>
    </row>
    <row r="349" spans="1:23" ht="12.75">
      <c r="A349" s="4">
        <v>50</v>
      </c>
      <c r="B349" s="4">
        <v>0</v>
      </c>
      <c r="C349" s="4">
        <v>0</v>
      </c>
      <c r="D349" s="4">
        <v>1</v>
      </c>
      <c r="E349" s="4">
        <v>207</v>
      </c>
      <c r="F349" s="4">
        <f>Source!U327</f>
        <v>6402.918013749999</v>
      </c>
      <c r="G349" s="4" t="s">
        <v>119</v>
      </c>
      <c r="H349" s="4" t="s">
        <v>120</v>
      </c>
      <c r="I349" s="4"/>
      <c r="J349" s="4"/>
      <c r="K349" s="4">
        <v>207</v>
      </c>
      <c r="L349" s="4">
        <v>21</v>
      </c>
      <c r="M349" s="4">
        <v>3</v>
      </c>
      <c r="N349" s="4" t="s">
        <v>3</v>
      </c>
      <c r="O349" s="4">
        <v>-1</v>
      </c>
      <c r="P349" s="4"/>
      <c r="Q349" s="4"/>
      <c r="R349" s="4"/>
      <c r="S349" s="4"/>
      <c r="T349" s="4"/>
      <c r="U349" s="4"/>
      <c r="V349" s="4"/>
      <c r="W349" s="4"/>
    </row>
    <row r="350" spans="1:23" ht="12.75">
      <c r="A350" s="4">
        <v>50</v>
      </c>
      <c r="B350" s="4">
        <v>0</v>
      </c>
      <c r="C350" s="4">
        <v>0</v>
      </c>
      <c r="D350" s="4">
        <v>1</v>
      </c>
      <c r="E350" s="4">
        <v>208</v>
      </c>
      <c r="F350" s="4">
        <f>Source!V327</f>
        <v>46.938375</v>
      </c>
      <c r="G350" s="4" t="s">
        <v>121</v>
      </c>
      <c r="H350" s="4" t="s">
        <v>122</v>
      </c>
      <c r="I350" s="4"/>
      <c r="J350" s="4"/>
      <c r="K350" s="4">
        <v>208</v>
      </c>
      <c r="L350" s="4">
        <v>22</v>
      </c>
      <c r="M350" s="4">
        <v>3</v>
      </c>
      <c r="N350" s="4" t="s">
        <v>3</v>
      </c>
      <c r="O350" s="4">
        <v>-1</v>
      </c>
      <c r="P350" s="4"/>
      <c r="Q350" s="4"/>
      <c r="R350" s="4"/>
      <c r="S350" s="4"/>
      <c r="T350" s="4"/>
      <c r="U350" s="4"/>
      <c r="V350" s="4"/>
      <c r="W350" s="4"/>
    </row>
    <row r="351" spans="1:23" ht="12.75">
      <c r="A351" s="4">
        <v>50</v>
      </c>
      <c r="B351" s="4">
        <v>0</v>
      </c>
      <c r="C351" s="4">
        <v>0</v>
      </c>
      <c r="D351" s="4">
        <v>1</v>
      </c>
      <c r="E351" s="4">
        <v>209</v>
      </c>
      <c r="F351" s="4">
        <f>ROUND(Source!W327,O351)</f>
        <v>0</v>
      </c>
      <c r="G351" s="4" t="s">
        <v>123</v>
      </c>
      <c r="H351" s="4" t="s">
        <v>124</v>
      </c>
      <c r="I351" s="4"/>
      <c r="J351" s="4"/>
      <c r="K351" s="4">
        <v>209</v>
      </c>
      <c r="L351" s="4">
        <v>23</v>
      </c>
      <c r="M351" s="4">
        <v>3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/>
    </row>
    <row r="352" spans="1:23" ht="12.75">
      <c r="A352" s="4">
        <v>50</v>
      </c>
      <c r="B352" s="4">
        <v>0</v>
      </c>
      <c r="C352" s="4">
        <v>0</v>
      </c>
      <c r="D352" s="4">
        <v>1</v>
      </c>
      <c r="E352" s="4">
        <v>210</v>
      </c>
      <c r="F352" s="4">
        <f>ROUND(Source!X327,O352)</f>
        <v>1085479.15</v>
      </c>
      <c r="G352" s="4" t="s">
        <v>125</v>
      </c>
      <c r="H352" s="4" t="s">
        <v>126</v>
      </c>
      <c r="I352" s="4"/>
      <c r="J352" s="4"/>
      <c r="K352" s="4">
        <v>210</v>
      </c>
      <c r="L352" s="4">
        <v>24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/>
    </row>
    <row r="353" spans="1:23" ht="12.75">
      <c r="A353" s="4">
        <v>50</v>
      </c>
      <c r="B353" s="4">
        <v>0</v>
      </c>
      <c r="C353" s="4">
        <v>0</v>
      </c>
      <c r="D353" s="4">
        <v>1</v>
      </c>
      <c r="E353" s="4">
        <v>211</v>
      </c>
      <c r="F353" s="4">
        <f>ROUND(Source!Y327,O353)</f>
        <v>622547.86</v>
      </c>
      <c r="G353" s="4" t="s">
        <v>127</v>
      </c>
      <c r="H353" s="4" t="s">
        <v>128</v>
      </c>
      <c r="I353" s="4"/>
      <c r="J353" s="4"/>
      <c r="K353" s="4">
        <v>211</v>
      </c>
      <c r="L353" s="4">
        <v>25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/>
    </row>
    <row r="354" spans="1:23" ht="12.75">
      <c r="A354" s="4">
        <v>50</v>
      </c>
      <c r="B354" s="4">
        <v>0</v>
      </c>
      <c r="C354" s="4">
        <v>0</v>
      </c>
      <c r="D354" s="4">
        <v>1</v>
      </c>
      <c r="E354" s="4">
        <v>224</v>
      </c>
      <c r="F354" s="4">
        <f>ROUND(Source!AR327,O354)</f>
        <v>5553688.5</v>
      </c>
      <c r="G354" s="4" t="s">
        <v>129</v>
      </c>
      <c r="H354" s="4" t="s">
        <v>130</v>
      </c>
      <c r="I354" s="4"/>
      <c r="J354" s="4"/>
      <c r="K354" s="4">
        <v>224</v>
      </c>
      <c r="L354" s="4">
        <v>26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/>
    </row>
    <row r="356" spans="1:8" ht="12.75">
      <c r="A356" s="5">
        <v>61</v>
      </c>
      <c r="B356" s="5"/>
      <c r="C356" s="5"/>
      <c r="D356" s="5"/>
      <c r="E356" s="5"/>
      <c r="F356" s="5">
        <v>3</v>
      </c>
      <c r="G356" s="5" t="s">
        <v>392</v>
      </c>
      <c r="H356" s="5" t="s">
        <v>393</v>
      </c>
    </row>
    <row r="357" spans="1:8" ht="12.75">
      <c r="A357" s="5">
        <v>61</v>
      </c>
      <c r="B357" s="5"/>
      <c r="C357" s="5"/>
      <c r="D357" s="5"/>
      <c r="E357" s="5"/>
      <c r="F357" s="5">
        <v>2</v>
      </c>
      <c r="G357" s="5" t="s">
        <v>394</v>
      </c>
      <c r="H357" s="5" t="s">
        <v>393</v>
      </c>
    </row>
    <row r="358" spans="1:8" ht="12.75">
      <c r="A358" s="5">
        <v>61</v>
      </c>
      <c r="B358" s="5"/>
      <c r="C358" s="5"/>
      <c r="D358" s="5"/>
      <c r="E358" s="5"/>
      <c r="F358" s="5">
        <v>1</v>
      </c>
      <c r="G358" s="5" t="s">
        <v>395</v>
      </c>
      <c r="H358" s="5" t="s">
        <v>393</v>
      </c>
    </row>
    <row r="361" spans="1:14" ht="12.75">
      <c r="A361">
        <v>70</v>
      </c>
      <c r="B361">
        <v>1</v>
      </c>
      <c r="D361">
        <v>1</v>
      </c>
      <c r="E361" t="s">
        <v>396</v>
      </c>
      <c r="F361" t="s">
        <v>397</v>
      </c>
      <c r="G361">
        <v>0</v>
      </c>
      <c r="H361">
        <v>0</v>
      </c>
      <c r="J361">
        <v>1</v>
      </c>
      <c r="K361">
        <v>0</v>
      </c>
      <c r="N361">
        <v>0</v>
      </c>
    </row>
    <row r="362" spans="1:14" ht="12.75">
      <c r="A362">
        <v>70</v>
      </c>
      <c r="B362">
        <v>1</v>
      </c>
      <c r="D362">
        <v>2</v>
      </c>
      <c r="E362" t="s">
        <v>398</v>
      </c>
      <c r="F362" t="s">
        <v>399</v>
      </c>
      <c r="G362">
        <v>1</v>
      </c>
      <c r="H362">
        <v>0</v>
      </c>
      <c r="J362">
        <v>1</v>
      </c>
      <c r="K362">
        <v>0</v>
      </c>
      <c r="N362">
        <v>0</v>
      </c>
    </row>
    <row r="363" spans="1:14" ht="12.75">
      <c r="A363">
        <v>70</v>
      </c>
      <c r="B363">
        <v>1</v>
      </c>
      <c r="D363">
        <v>3</v>
      </c>
      <c r="E363" t="s">
        <v>400</v>
      </c>
      <c r="F363" t="s">
        <v>401</v>
      </c>
      <c r="G363">
        <v>0</v>
      </c>
      <c r="H363">
        <v>0</v>
      </c>
      <c r="J363">
        <v>1</v>
      </c>
      <c r="K363">
        <v>0</v>
      </c>
      <c r="N363">
        <v>0</v>
      </c>
    </row>
    <row r="364" spans="1:14" ht="12.75">
      <c r="A364">
        <v>70</v>
      </c>
      <c r="B364">
        <v>1</v>
      </c>
      <c r="D364">
        <v>4</v>
      </c>
      <c r="E364" t="s">
        <v>402</v>
      </c>
      <c r="F364" t="s">
        <v>403</v>
      </c>
      <c r="G364">
        <v>0</v>
      </c>
      <c r="H364">
        <v>0</v>
      </c>
      <c r="I364" t="s">
        <v>404</v>
      </c>
      <c r="J364">
        <v>0</v>
      </c>
      <c r="K364">
        <v>0</v>
      </c>
      <c r="N364">
        <v>0</v>
      </c>
    </row>
    <row r="365" spans="1:14" ht="12.75">
      <c r="A365">
        <v>70</v>
      </c>
      <c r="B365">
        <v>1</v>
      </c>
      <c r="D365">
        <v>5</v>
      </c>
      <c r="E365" t="s">
        <v>405</v>
      </c>
      <c r="F365" t="s">
        <v>406</v>
      </c>
      <c r="G365">
        <v>0</v>
      </c>
      <c r="H365">
        <v>0</v>
      </c>
      <c r="I365" t="s">
        <v>407</v>
      </c>
      <c r="J365">
        <v>0</v>
      </c>
      <c r="K365">
        <v>0</v>
      </c>
      <c r="N365">
        <v>0</v>
      </c>
    </row>
    <row r="366" spans="1:14" ht="12.75">
      <c r="A366">
        <v>70</v>
      </c>
      <c r="B366">
        <v>1</v>
      </c>
      <c r="D366">
        <v>6</v>
      </c>
      <c r="E366" t="s">
        <v>408</v>
      </c>
      <c r="F366" t="s">
        <v>409</v>
      </c>
      <c r="G366">
        <v>0</v>
      </c>
      <c r="H366">
        <v>0</v>
      </c>
      <c r="I366" t="s">
        <v>410</v>
      </c>
      <c r="J366">
        <v>0</v>
      </c>
      <c r="K366">
        <v>0</v>
      </c>
      <c r="N366">
        <v>0</v>
      </c>
    </row>
    <row r="367" spans="1:14" ht="12.75">
      <c r="A367">
        <v>70</v>
      </c>
      <c r="B367">
        <v>1</v>
      </c>
      <c r="D367">
        <v>7</v>
      </c>
      <c r="E367" t="s">
        <v>411</v>
      </c>
      <c r="F367" t="s">
        <v>412</v>
      </c>
      <c r="G367">
        <v>1</v>
      </c>
      <c r="H367">
        <v>0</v>
      </c>
      <c r="J367">
        <v>0</v>
      </c>
      <c r="K367">
        <v>0</v>
      </c>
      <c r="N367">
        <v>0</v>
      </c>
    </row>
    <row r="368" spans="1:14" ht="12.75">
      <c r="A368">
        <v>70</v>
      </c>
      <c r="B368">
        <v>1</v>
      </c>
      <c r="D368">
        <v>8</v>
      </c>
      <c r="E368" t="s">
        <v>413</v>
      </c>
      <c r="F368" t="s">
        <v>414</v>
      </c>
      <c r="G368">
        <v>0</v>
      </c>
      <c r="H368">
        <v>0</v>
      </c>
      <c r="I368" t="s">
        <v>415</v>
      </c>
      <c r="J368">
        <v>0</v>
      </c>
      <c r="K368">
        <v>0</v>
      </c>
      <c r="N368">
        <v>0</v>
      </c>
    </row>
    <row r="369" spans="1:14" ht="12.75">
      <c r="A369">
        <v>70</v>
      </c>
      <c r="B369">
        <v>1</v>
      </c>
      <c r="D369">
        <v>9</v>
      </c>
      <c r="E369" t="s">
        <v>416</v>
      </c>
      <c r="F369" t="s">
        <v>417</v>
      </c>
      <c r="G369">
        <v>0</v>
      </c>
      <c r="H369">
        <v>0</v>
      </c>
      <c r="I369" t="s">
        <v>418</v>
      </c>
      <c r="J369">
        <v>0</v>
      </c>
      <c r="K369">
        <v>0</v>
      </c>
      <c r="N369">
        <v>0</v>
      </c>
    </row>
    <row r="370" spans="1:14" ht="12.75">
      <c r="A370">
        <v>70</v>
      </c>
      <c r="B370">
        <v>1</v>
      </c>
      <c r="D370">
        <v>10</v>
      </c>
      <c r="E370" t="s">
        <v>419</v>
      </c>
      <c r="F370" t="s">
        <v>420</v>
      </c>
      <c r="G370">
        <v>0</v>
      </c>
      <c r="H370">
        <v>0</v>
      </c>
      <c r="I370" t="s">
        <v>421</v>
      </c>
      <c r="J370">
        <v>0</v>
      </c>
      <c r="K370">
        <v>0</v>
      </c>
      <c r="N370">
        <v>0</v>
      </c>
    </row>
    <row r="371" spans="1:14" ht="12.75">
      <c r="A371">
        <v>70</v>
      </c>
      <c r="B371">
        <v>1</v>
      </c>
      <c r="D371">
        <v>11</v>
      </c>
      <c r="E371" t="s">
        <v>422</v>
      </c>
      <c r="F371" t="s">
        <v>423</v>
      </c>
      <c r="G371">
        <v>0</v>
      </c>
      <c r="H371">
        <v>0</v>
      </c>
      <c r="I371" t="s">
        <v>424</v>
      </c>
      <c r="J371">
        <v>0</v>
      </c>
      <c r="K371">
        <v>0</v>
      </c>
      <c r="N371">
        <v>0</v>
      </c>
    </row>
    <row r="372" spans="1:14" ht="12.75">
      <c r="A372">
        <v>70</v>
      </c>
      <c r="B372">
        <v>1</v>
      </c>
      <c r="D372">
        <v>12</v>
      </c>
      <c r="E372" t="s">
        <v>425</v>
      </c>
      <c r="F372" t="s">
        <v>426</v>
      </c>
      <c r="G372">
        <v>0</v>
      </c>
      <c r="H372">
        <v>0</v>
      </c>
      <c r="J372">
        <v>0</v>
      </c>
      <c r="K372">
        <v>0</v>
      </c>
      <c r="N372">
        <v>0</v>
      </c>
    </row>
    <row r="373" spans="1:14" ht="12.75">
      <c r="A373">
        <v>70</v>
      </c>
      <c r="B373">
        <v>1</v>
      </c>
      <c r="D373">
        <v>1</v>
      </c>
      <c r="E373" t="s">
        <v>427</v>
      </c>
      <c r="F373" t="s">
        <v>428</v>
      </c>
      <c r="G373">
        <v>0.9</v>
      </c>
      <c r="H373">
        <v>1</v>
      </c>
      <c r="I373" t="s">
        <v>429</v>
      </c>
      <c r="J373">
        <v>0</v>
      </c>
      <c r="K373">
        <v>0</v>
      </c>
      <c r="N373">
        <v>0</v>
      </c>
    </row>
    <row r="374" spans="1:14" ht="12.75">
      <c r="A374">
        <v>70</v>
      </c>
      <c r="B374">
        <v>1</v>
      </c>
      <c r="D374">
        <v>2</v>
      </c>
      <c r="E374" t="s">
        <v>430</v>
      </c>
      <c r="F374" t="s">
        <v>431</v>
      </c>
      <c r="G374">
        <v>0.85</v>
      </c>
      <c r="H374">
        <v>1</v>
      </c>
      <c r="I374" t="s">
        <v>432</v>
      </c>
      <c r="J374">
        <v>0</v>
      </c>
      <c r="K374">
        <v>0</v>
      </c>
      <c r="N374">
        <v>0</v>
      </c>
    </row>
    <row r="375" spans="1:14" ht="12.75">
      <c r="A375">
        <v>70</v>
      </c>
      <c r="B375">
        <v>1</v>
      </c>
      <c r="D375">
        <v>3</v>
      </c>
      <c r="E375" t="s">
        <v>433</v>
      </c>
      <c r="F375" t="s">
        <v>434</v>
      </c>
      <c r="G375">
        <v>1</v>
      </c>
      <c r="H375">
        <v>0.85</v>
      </c>
      <c r="I375" t="s">
        <v>435</v>
      </c>
      <c r="J375">
        <v>0</v>
      </c>
      <c r="K375">
        <v>0</v>
      </c>
      <c r="N375">
        <v>0</v>
      </c>
    </row>
    <row r="376" spans="1:14" ht="12.75">
      <c r="A376">
        <v>70</v>
      </c>
      <c r="B376">
        <v>1</v>
      </c>
      <c r="D376">
        <v>4</v>
      </c>
      <c r="E376" t="s">
        <v>436</v>
      </c>
      <c r="F376" t="s">
        <v>437</v>
      </c>
      <c r="G376">
        <v>1</v>
      </c>
      <c r="H376">
        <v>0</v>
      </c>
      <c r="J376">
        <v>0</v>
      </c>
      <c r="K376">
        <v>0</v>
      </c>
      <c r="N376">
        <v>0</v>
      </c>
    </row>
    <row r="377" spans="1:14" ht="12.75">
      <c r="A377">
        <v>70</v>
      </c>
      <c r="B377">
        <v>1</v>
      </c>
      <c r="D377">
        <v>5</v>
      </c>
      <c r="E377" t="s">
        <v>438</v>
      </c>
      <c r="F377" t="s">
        <v>439</v>
      </c>
      <c r="G377">
        <v>1</v>
      </c>
      <c r="H377">
        <v>0.8</v>
      </c>
      <c r="I377" t="s">
        <v>440</v>
      </c>
      <c r="J377">
        <v>0</v>
      </c>
      <c r="K377">
        <v>0</v>
      </c>
      <c r="N377">
        <v>0</v>
      </c>
    </row>
    <row r="378" spans="1:14" ht="12.75">
      <c r="A378">
        <v>70</v>
      </c>
      <c r="B378">
        <v>1</v>
      </c>
      <c r="D378">
        <v>6</v>
      </c>
      <c r="E378" t="s">
        <v>441</v>
      </c>
      <c r="F378" t="s">
        <v>442</v>
      </c>
      <c r="G378">
        <v>0.85</v>
      </c>
      <c r="H378">
        <v>0</v>
      </c>
      <c r="J378">
        <v>0</v>
      </c>
      <c r="K378">
        <v>0</v>
      </c>
      <c r="N378">
        <v>0</v>
      </c>
    </row>
    <row r="379" spans="1:14" ht="12.75">
      <c r="A379">
        <v>70</v>
      </c>
      <c r="B379">
        <v>1</v>
      </c>
      <c r="D379">
        <v>7</v>
      </c>
      <c r="E379" t="s">
        <v>443</v>
      </c>
      <c r="F379" t="s">
        <v>444</v>
      </c>
      <c r="G379">
        <v>0.8</v>
      </c>
      <c r="H379">
        <v>0</v>
      </c>
      <c r="J379">
        <v>0</v>
      </c>
      <c r="K379">
        <v>0</v>
      </c>
      <c r="N379">
        <v>0</v>
      </c>
    </row>
    <row r="380" spans="1:14" ht="12.75">
      <c r="A380">
        <v>70</v>
      </c>
      <c r="B380">
        <v>1</v>
      </c>
      <c r="D380">
        <v>8</v>
      </c>
      <c r="E380" t="s">
        <v>445</v>
      </c>
      <c r="F380" t="s">
        <v>446</v>
      </c>
      <c r="G380">
        <v>0.7</v>
      </c>
      <c r="H380">
        <v>0</v>
      </c>
      <c r="J380">
        <v>0</v>
      </c>
      <c r="K380">
        <v>0</v>
      </c>
      <c r="N380">
        <v>0</v>
      </c>
    </row>
    <row r="381" spans="1:14" ht="12.75">
      <c r="A381">
        <v>70</v>
      </c>
      <c r="B381">
        <v>1</v>
      </c>
      <c r="D381">
        <v>9</v>
      </c>
      <c r="E381" t="s">
        <v>447</v>
      </c>
      <c r="F381" t="s">
        <v>448</v>
      </c>
      <c r="G381">
        <v>0.9</v>
      </c>
      <c r="H381">
        <v>0</v>
      </c>
      <c r="J381">
        <v>0</v>
      </c>
      <c r="K381">
        <v>0</v>
      </c>
      <c r="N381">
        <v>0</v>
      </c>
    </row>
    <row r="382" spans="1:14" ht="12.75">
      <c r="A382">
        <v>70</v>
      </c>
      <c r="B382">
        <v>1</v>
      </c>
      <c r="D382">
        <v>10</v>
      </c>
      <c r="E382" t="s">
        <v>449</v>
      </c>
      <c r="F382" t="s">
        <v>450</v>
      </c>
      <c r="G382">
        <v>0.6</v>
      </c>
      <c r="H382">
        <v>0</v>
      </c>
      <c r="J382">
        <v>0</v>
      </c>
      <c r="K382">
        <v>0</v>
      </c>
      <c r="N382">
        <v>0</v>
      </c>
    </row>
    <row r="383" spans="1:14" ht="12.75">
      <c r="A383">
        <v>70</v>
      </c>
      <c r="B383">
        <v>1</v>
      </c>
      <c r="D383">
        <v>11</v>
      </c>
      <c r="E383" t="s">
        <v>451</v>
      </c>
      <c r="F383" t="s">
        <v>452</v>
      </c>
      <c r="G383">
        <v>1.2</v>
      </c>
      <c r="H383">
        <v>0</v>
      </c>
      <c r="J383">
        <v>0</v>
      </c>
      <c r="K383">
        <v>0</v>
      </c>
      <c r="N383">
        <v>0</v>
      </c>
    </row>
    <row r="384" spans="1:14" ht="12.75">
      <c r="A384">
        <v>70</v>
      </c>
      <c r="B384">
        <v>1</v>
      </c>
      <c r="D384">
        <v>12</v>
      </c>
      <c r="E384" t="s">
        <v>453</v>
      </c>
      <c r="F384" t="s">
        <v>454</v>
      </c>
      <c r="G384">
        <v>0</v>
      </c>
      <c r="H384">
        <v>0</v>
      </c>
      <c r="J384">
        <v>0</v>
      </c>
      <c r="K384">
        <v>0</v>
      </c>
      <c r="N384">
        <v>0</v>
      </c>
    </row>
    <row r="385" spans="1:14" ht="12.75">
      <c r="A385">
        <v>70</v>
      </c>
      <c r="B385">
        <v>1</v>
      </c>
      <c r="D385">
        <v>13</v>
      </c>
      <c r="E385" t="s">
        <v>455</v>
      </c>
      <c r="F385" t="s">
        <v>456</v>
      </c>
      <c r="G385">
        <v>1</v>
      </c>
      <c r="H385">
        <v>0</v>
      </c>
      <c r="J385">
        <v>0</v>
      </c>
      <c r="K385">
        <v>0</v>
      </c>
      <c r="N385">
        <v>0</v>
      </c>
    </row>
    <row r="387" ht="12.75">
      <c r="A387">
        <v>-1</v>
      </c>
    </row>
    <row r="389" spans="1:15" ht="12.75">
      <c r="A389" s="3">
        <v>75</v>
      </c>
      <c r="B389" s="3" t="s">
        <v>457</v>
      </c>
      <c r="C389" s="3">
        <v>2019</v>
      </c>
      <c r="D389" s="3">
        <v>0</v>
      </c>
      <c r="E389" s="3">
        <v>1</v>
      </c>
      <c r="F389" s="3"/>
      <c r="G389" s="3">
        <v>0</v>
      </c>
      <c r="H389" s="3">
        <v>1</v>
      </c>
      <c r="I389" s="3">
        <v>0</v>
      </c>
      <c r="J389" s="3">
        <v>1</v>
      </c>
      <c r="K389" s="3">
        <v>0</v>
      </c>
      <c r="L389" s="3">
        <v>0</v>
      </c>
      <c r="M389" s="3">
        <v>0</v>
      </c>
      <c r="N389" s="3">
        <v>51669678</v>
      </c>
      <c r="O389" s="3">
        <v>1</v>
      </c>
    </row>
    <row r="390" spans="1:27" ht="12.75">
      <c r="A390" s="6">
        <v>1</v>
      </c>
      <c r="B390" s="6" t="s">
        <v>458</v>
      </c>
      <c r="C390" s="6" t="s">
        <v>3</v>
      </c>
      <c r="D390" s="6">
        <v>0</v>
      </c>
      <c r="E390" s="6">
        <v>0</v>
      </c>
      <c r="F390" s="6">
        <v>1</v>
      </c>
      <c r="G390" s="6">
        <v>1</v>
      </c>
      <c r="H390" s="6">
        <v>0</v>
      </c>
      <c r="I390" s="6">
        <v>2</v>
      </c>
      <c r="J390" s="6">
        <v>1</v>
      </c>
      <c r="K390" s="6">
        <v>1</v>
      </c>
      <c r="L390" s="6">
        <v>1</v>
      </c>
      <c r="M390" s="6">
        <v>1</v>
      </c>
      <c r="N390" s="6">
        <v>1</v>
      </c>
      <c r="O390" s="6">
        <v>1</v>
      </c>
      <c r="P390" s="6">
        <v>1</v>
      </c>
      <c r="Q390" s="6">
        <v>1</v>
      </c>
      <c r="R390" s="6" t="s">
        <v>3</v>
      </c>
      <c r="S390" s="6" t="s">
        <v>3</v>
      </c>
      <c r="T390" s="6" t="s">
        <v>3</v>
      </c>
      <c r="U390" s="6" t="s">
        <v>3</v>
      </c>
      <c r="V390" s="6" t="s">
        <v>3</v>
      </c>
      <c r="W390" s="6" t="s">
        <v>3</v>
      </c>
      <c r="X390" s="6" t="s">
        <v>3</v>
      </c>
      <c r="Y390" s="6" t="s">
        <v>3</v>
      </c>
      <c r="Z390" s="6" t="s">
        <v>3</v>
      </c>
      <c r="AA390" s="6" t="s">
        <v>3</v>
      </c>
    </row>
    <row r="394" spans="1:5" ht="12.75">
      <c r="A394">
        <v>65</v>
      </c>
      <c r="C394">
        <v>1</v>
      </c>
      <c r="D394">
        <v>0</v>
      </c>
      <c r="E394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C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459</v>
      </c>
      <c r="F1">
        <v>0</v>
      </c>
      <c r="G1">
        <v>0</v>
      </c>
      <c r="H1">
        <v>0</v>
      </c>
      <c r="I1" t="s">
        <v>2</v>
      </c>
      <c r="K1">
        <v>1</v>
      </c>
      <c r="L1">
        <v>50447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3</v>
      </c>
      <c r="BZ12" s="1" t="s">
        <v>8</v>
      </c>
      <c r="CA12" s="1" t="s">
        <v>3</v>
      </c>
      <c r="CB12" s="1" t="s">
        <v>3</v>
      </c>
      <c r="CC12" s="1" t="s">
        <v>3</v>
      </c>
      <c r="CD12" s="1" t="s">
        <v>3</v>
      </c>
      <c r="CE12" s="1" t="s">
        <v>9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51669678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7">
        <v>3</v>
      </c>
      <c r="B16" s="7">
        <v>1</v>
      </c>
      <c r="C16" s="7" t="s">
        <v>10</v>
      </c>
      <c r="D16" s="7" t="s">
        <v>10</v>
      </c>
      <c r="E16" s="8">
        <f>(Source!F315)/1000</f>
        <v>5326.02464</v>
      </c>
      <c r="F16" s="8">
        <f>(Source!F316)/1000</f>
        <v>0.8905700000000001</v>
      </c>
      <c r="G16" s="8">
        <f>(Source!F307)/1000</f>
        <v>0</v>
      </c>
      <c r="H16" s="8">
        <f>(Source!F317)/1000+(Source!F318)/1000</f>
        <v>226.77329</v>
      </c>
      <c r="I16" s="8">
        <f>E16+F16+G16+H16</f>
        <v>5553.688499999999</v>
      </c>
      <c r="J16" s="8">
        <f>(Source!F313)/1000</f>
        <v>1053.1718799999999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3773135.06</v>
      </c>
      <c r="AU16" s="8">
        <v>2598730.04</v>
      </c>
      <c r="AV16" s="8">
        <v>0</v>
      </c>
      <c r="AW16" s="8">
        <v>0</v>
      </c>
      <c r="AX16" s="8">
        <v>0</v>
      </c>
      <c r="AY16" s="8">
        <v>121233.14</v>
      </c>
      <c r="AZ16" s="8">
        <v>11307.28</v>
      </c>
      <c r="BA16" s="8">
        <v>1053171.88</v>
      </c>
      <c r="BB16" s="8">
        <v>5326024.64</v>
      </c>
      <c r="BC16" s="8">
        <v>890.57</v>
      </c>
      <c r="BD16" s="8">
        <v>226773.29</v>
      </c>
      <c r="BE16" s="8">
        <v>0</v>
      </c>
      <c r="BF16" s="8">
        <v>6402.918013750002</v>
      </c>
      <c r="BG16" s="8">
        <v>46.93837500000001</v>
      </c>
      <c r="BH16" s="8">
        <v>0</v>
      </c>
      <c r="BI16" s="8">
        <v>1085479.15</v>
      </c>
      <c r="BJ16" s="8">
        <v>622547.86</v>
      </c>
      <c r="BK16" s="8">
        <v>5553688.5</v>
      </c>
    </row>
    <row r="18" spans="1:19" ht="12.75">
      <c r="A18">
        <v>51</v>
      </c>
      <c r="E18" s="5">
        <f>SUMIF(A16:A17,3,E16:E17)</f>
        <v>5326.02464</v>
      </c>
      <c r="F18" s="5">
        <f>SUMIF(A16:A17,3,F16:F17)</f>
        <v>0.8905700000000001</v>
      </c>
      <c r="G18" s="5">
        <f>SUMIF(A16:A17,3,G16:G17)</f>
        <v>0</v>
      </c>
      <c r="H18" s="5">
        <f>SUMIF(A16:A17,3,H16:H17)</f>
        <v>226.77329</v>
      </c>
      <c r="I18" s="5">
        <f>SUMIF(A16:A17,3,I16:I17)</f>
        <v>5553.688499999999</v>
      </c>
      <c r="J18" s="5">
        <f>SUMIF(A16:A17,3,J16:J17)</f>
        <v>1053.1718799999999</v>
      </c>
      <c r="K18" s="5"/>
      <c r="L18" s="5"/>
      <c r="M18" s="5"/>
      <c r="N18" s="5"/>
      <c r="O18" s="5"/>
      <c r="P18" s="5"/>
      <c r="Q18" s="5"/>
      <c r="R18" s="5"/>
      <c r="S18" s="5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3773135.06</v>
      </c>
      <c r="G20" s="4" t="s">
        <v>79</v>
      </c>
      <c r="H20" s="4" t="s">
        <v>80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2598730.04</v>
      </c>
      <c r="G21" s="4" t="s">
        <v>81</v>
      </c>
      <c r="H21" s="4" t="s">
        <v>82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83</v>
      </c>
      <c r="H22" s="4" t="s">
        <v>84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2598730.04</v>
      </c>
      <c r="G23" s="4" t="s">
        <v>85</v>
      </c>
      <c r="H23" s="4" t="s">
        <v>86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2598730.04</v>
      </c>
      <c r="G24" s="4" t="s">
        <v>87</v>
      </c>
      <c r="H24" s="4" t="s">
        <v>88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89</v>
      </c>
      <c r="H25" s="4" t="s">
        <v>90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2598730.04</v>
      </c>
      <c r="G26" s="4" t="s">
        <v>91</v>
      </c>
      <c r="H26" s="4" t="s">
        <v>92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93</v>
      </c>
      <c r="H27" s="4" t="s">
        <v>94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95</v>
      </c>
      <c r="H28" s="4" t="s">
        <v>96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97</v>
      </c>
      <c r="H29" s="4" t="s">
        <v>98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121233.14</v>
      </c>
      <c r="G30" s="4" t="s">
        <v>99</v>
      </c>
      <c r="H30" s="4" t="s">
        <v>100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101</v>
      </c>
      <c r="H31" s="4" t="s">
        <v>102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11307.28</v>
      </c>
      <c r="G32" s="4" t="s">
        <v>103</v>
      </c>
      <c r="H32" s="4" t="s">
        <v>104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1053171.88</v>
      </c>
      <c r="G33" s="4" t="s">
        <v>105</v>
      </c>
      <c r="H33" s="4" t="s">
        <v>106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107</v>
      </c>
      <c r="H34" s="4" t="s">
        <v>108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5326024.64</v>
      </c>
      <c r="G35" s="4" t="s">
        <v>109</v>
      </c>
      <c r="H35" s="4" t="s">
        <v>110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890.57</v>
      </c>
      <c r="G36" s="4" t="s">
        <v>111</v>
      </c>
      <c r="H36" s="4" t="s">
        <v>112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226773.29</v>
      </c>
      <c r="G37" s="4" t="s">
        <v>113</v>
      </c>
      <c r="H37" s="4" t="s">
        <v>114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115</v>
      </c>
      <c r="H38" s="4" t="s">
        <v>116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117</v>
      </c>
      <c r="H39" s="4" t="s">
        <v>118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6402.918013750002</v>
      </c>
      <c r="G40" s="4" t="s">
        <v>119</v>
      </c>
      <c r="H40" s="4" t="s">
        <v>120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46.93837500000001</v>
      </c>
      <c r="G41" s="4" t="s">
        <v>121</v>
      </c>
      <c r="H41" s="4" t="s">
        <v>122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123</v>
      </c>
      <c r="H42" s="4" t="s">
        <v>124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1085479.15</v>
      </c>
      <c r="G43" s="4" t="s">
        <v>125</v>
      </c>
      <c r="H43" s="4" t="s">
        <v>126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622547.86</v>
      </c>
      <c r="G44" s="4" t="s">
        <v>127</v>
      </c>
      <c r="H44" s="4" t="s">
        <v>128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5553688.5</v>
      </c>
      <c r="G45" s="4" t="s">
        <v>129</v>
      </c>
      <c r="H45" s="4" t="s">
        <v>130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7" ht="12.75">
      <c r="A47">
        <v>-1</v>
      </c>
    </row>
    <row r="50" spans="1:15" ht="12.75">
      <c r="A50" s="3">
        <v>75</v>
      </c>
      <c r="B50" s="3" t="s">
        <v>457</v>
      </c>
      <c r="C50" s="3">
        <v>2019</v>
      </c>
      <c r="D50" s="3">
        <v>0</v>
      </c>
      <c r="E50" s="3">
        <v>1</v>
      </c>
      <c r="F50" s="3"/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51669678</v>
      </c>
      <c r="O50" s="3">
        <v>1</v>
      </c>
    </row>
    <row r="51" spans="1:27" ht="12.75">
      <c r="A51" s="6">
        <v>1</v>
      </c>
      <c r="B51" s="6" t="s">
        <v>458</v>
      </c>
      <c r="C51" s="6" t="s">
        <v>3</v>
      </c>
      <c r="D51" s="6">
        <v>0</v>
      </c>
      <c r="E51" s="6">
        <v>0</v>
      </c>
      <c r="F51" s="6">
        <v>1</v>
      </c>
      <c r="G51" s="6">
        <v>1</v>
      </c>
      <c r="H51" s="6">
        <v>0</v>
      </c>
      <c r="I51" s="6">
        <v>2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 t="s">
        <v>3</v>
      </c>
      <c r="S51" s="6" t="s">
        <v>3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 t="s">
        <v>3</v>
      </c>
      <c r="Z51" s="6" t="s">
        <v>3</v>
      </c>
      <c r="AA51" s="6" t="s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2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51669678</v>
      </c>
      <c r="C1">
        <v>51670020</v>
      </c>
      <c r="D1">
        <v>202556134</v>
      </c>
      <c r="E1">
        <v>1</v>
      </c>
      <c r="F1">
        <v>1</v>
      </c>
      <c r="G1">
        <v>1</v>
      </c>
      <c r="H1">
        <v>1</v>
      </c>
      <c r="I1" t="s">
        <v>460</v>
      </c>
      <c r="K1" t="s">
        <v>461</v>
      </c>
      <c r="L1">
        <v>1369</v>
      </c>
      <c r="N1">
        <v>1013</v>
      </c>
      <c r="O1" t="s">
        <v>462</v>
      </c>
      <c r="P1" t="s">
        <v>462</v>
      </c>
      <c r="Q1">
        <v>1</v>
      </c>
      <c r="W1">
        <v>0</v>
      </c>
      <c r="X1">
        <v>-651338093</v>
      </c>
      <c r="Y1">
        <v>69.4</v>
      </c>
      <c r="AA1">
        <v>0</v>
      </c>
      <c r="AB1">
        <v>0</v>
      </c>
      <c r="AC1">
        <v>0</v>
      </c>
      <c r="AD1">
        <v>14.79</v>
      </c>
      <c r="AE1">
        <v>0</v>
      </c>
      <c r="AF1">
        <v>0</v>
      </c>
      <c r="AG1">
        <v>0</v>
      </c>
      <c r="AH1">
        <v>14.79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55.52</v>
      </c>
      <c r="AU1" t="s">
        <v>19</v>
      </c>
      <c r="AV1">
        <v>1</v>
      </c>
      <c r="AW1">
        <v>2</v>
      </c>
      <c r="AX1">
        <v>51670023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485.80000000000007</v>
      </c>
      <c r="CY1">
        <f>AD1</f>
        <v>14.79</v>
      </c>
      <c r="CZ1">
        <f>AH1</f>
        <v>14.79</v>
      </c>
      <c r="DA1">
        <f>AL1</f>
        <v>1</v>
      </c>
      <c r="DB1">
        <f>ROUND((ROUND(AT1*CZ1,2)*1.25),2)</f>
        <v>1026.43</v>
      </c>
      <c r="DC1">
        <f>ROUND((ROUND(AT1*AG1,2)*1.25),2)</f>
        <v>0</v>
      </c>
    </row>
    <row r="2" spans="1:107" ht="12.75">
      <c r="A2">
        <f>ROW(Source!A28)</f>
        <v>28</v>
      </c>
      <c r="B2">
        <v>51669678</v>
      </c>
      <c r="C2">
        <v>51670020</v>
      </c>
      <c r="D2">
        <v>270771603</v>
      </c>
      <c r="E2">
        <v>1</v>
      </c>
      <c r="F2">
        <v>1</v>
      </c>
      <c r="G2">
        <v>1</v>
      </c>
      <c r="H2">
        <v>2</v>
      </c>
      <c r="I2" t="s">
        <v>463</v>
      </c>
      <c r="J2" t="s">
        <v>464</v>
      </c>
      <c r="K2" t="s">
        <v>465</v>
      </c>
      <c r="L2">
        <v>1368</v>
      </c>
      <c r="N2">
        <v>1011</v>
      </c>
      <c r="O2" t="s">
        <v>466</v>
      </c>
      <c r="P2" t="s">
        <v>466</v>
      </c>
      <c r="Q2">
        <v>1</v>
      </c>
      <c r="W2">
        <v>0</v>
      </c>
      <c r="X2">
        <v>-987378529</v>
      </c>
      <c r="Y2">
        <v>15.875</v>
      </c>
      <c r="AA2">
        <v>0</v>
      </c>
      <c r="AB2">
        <v>6.68</v>
      </c>
      <c r="AC2">
        <v>0</v>
      </c>
      <c r="AD2">
        <v>0</v>
      </c>
      <c r="AE2">
        <v>0</v>
      </c>
      <c r="AF2">
        <v>6.68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12.7</v>
      </c>
      <c r="AU2" t="s">
        <v>19</v>
      </c>
      <c r="AV2">
        <v>0</v>
      </c>
      <c r="AW2">
        <v>2</v>
      </c>
      <c r="AX2">
        <v>51670024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111.125</v>
      </c>
      <c r="CY2">
        <f>AB2</f>
        <v>6.68</v>
      </c>
      <c r="CZ2">
        <f>AF2</f>
        <v>6.68</v>
      </c>
      <c r="DA2">
        <f>AJ2</f>
        <v>1</v>
      </c>
      <c r="DB2">
        <f>ROUND((ROUND(AT2*CZ2,2)*1.25),2)</f>
        <v>106.05</v>
      </c>
      <c r="DC2">
        <f>ROUND((ROUND(AT2*AG2,2)*1.25),2)</f>
        <v>0</v>
      </c>
    </row>
    <row r="3" spans="1:107" ht="12.75">
      <c r="A3">
        <f>ROW(Source!A29)</f>
        <v>29</v>
      </c>
      <c r="B3">
        <v>51669678</v>
      </c>
      <c r="C3">
        <v>51670025</v>
      </c>
      <c r="D3">
        <v>202556993</v>
      </c>
      <c r="E3">
        <v>1</v>
      </c>
      <c r="F3">
        <v>1</v>
      </c>
      <c r="G3">
        <v>1</v>
      </c>
      <c r="H3">
        <v>1</v>
      </c>
      <c r="I3" t="s">
        <v>467</v>
      </c>
      <c r="K3" t="s">
        <v>468</v>
      </c>
      <c r="L3">
        <v>1369</v>
      </c>
      <c r="N3">
        <v>1013</v>
      </c>
      <c r="O3" t="s">
        <v>462</v>
      </c>
      <c r="P3" t="s">
        <v>462</v>
      </c>
      <c r="Q3">
        <v>1</v>
      </c>
      <c r="W3">
        <v>0</v>
      </c>
      <c r="X3">
        <v>-520529736</v>
      </c>
      <c r="Y3">
        <v>18.95</v>
      </c>
      <c r="AA3">
        <v>0</v>
      </c>
      <c r="AB3">
        <v>0</v>
      </c>
      <c r="AC3">
        <v>0</v>
      </c>
      <c r="AD3">
        <v>15.06</v>
      </c>
      <c r="AE3">
        <v>0</v>
      </c>
      <c r="AF3">
        <v>0</v>
      </c>
      <c r="AG3">
        <v>0</v>
      </c>
      <c r="AH3">
        <v>15.06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15.16</v>
      </c>
      <c r="AU3" t="s">
        <v>19</v>
      </c>
      <c r="AV3">
        <v>1</v>
      </c>
      <c r="AW3">
        <v>2</v>
      </c>
      <c r="AX3">
        <v>51670030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132.65</v>
      </c>
      <c r="CY3">
        <f>AD3</f>
        <v>15.06</v>
      </c>
      <c r="CZ3">
        <f>AH3</f>
        <v>15.06</v>
      </c>
      <c r="DA3">
        <f>AL3</f>
        <v>1</v>
      </c>
      <c r="DB3">
        <f>ROUND((ROUND(AT3*CZ3,2)*1.25),2)</f>
        <v>285.39</v>
      </c>
      <c r="DC3">
        <f>ROUND((ROUND(AT3*AG3,2)*1.25),2)</f>
        <v>0</v>
      </c>
    </row>
    <row r="4" spans="1:107" ht="12.75">
      <c r="A4">
        <f>ROW(Source!A29)</f>
        <v>29</v>
      </c>
      <c r="B4">
        <v>51669678</v>
      </c>
      <c r="C4">
        <v>51670025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26</v>
      </c>
      <c r="K4" t="s">
        <v>469</v>
      </c>
      <c r="L4">
        <v>608254</v>
      </c>
      <c r="N4">
        <v>1013</v>
      </c>
      <c r="O4" t="s">
        <v>470</v>
      </c>
      <c r="P4" t="s">
        <v>470</v>
      </c>
      <c r="Q4">
        <v>1</v>
      </c>
      <c r="W4">
        <v>0</v>
      </c>
      <c r="X4">
        <v>-185737400</v>
      </c>
      <c r="Y4">
        <v>0.5750000000000001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0.46</v>
      </c>
      <c r="AU4" t="s">
        <v>19</v>
      </c>
      <c r="AV4">
        <v>2</v>
      </c>
      <c r="AW4">
        <v>2</v>
      </c>
      <c r="AX4">
        <v>51670031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4.025</v>
      </c>
      <c r="CY4">
        <f>AD4</f>
        <v>0</v>
      </c>
      <c r="CZ4">
        <f>AH4</f>
        <v>0</v>
      </c>
      <c r="DA4">
        <f>AL4</f>
        <v>1</v>
      </c>
      <c r="DB4">
        <f>ROUND((ROUND(AT4*CZ4,2)*1.25),2)</f>
        <v>0</v>
      </c>
      <c r="DC4">
        <f>ROUND((ROUND(AT4*AG4,2)*1.25),2)</f>
        <v>0</v>
      </c>
    </row>
    <row r="5" spans="1:107" ht="12.75">
      <c r="A5">
        <f>ROW(Source!A29)</f>
        <v>29</v>
      </c>
      <c r="B5">
        <v>51669678</v>
      </c>
      <c r="C5">
        <v>51670025</v>
      </c>
      <c r="D5">
        <v>270771356</v>
      </c>
      <c r="E5">
        <v>1</v>
      </c>
      <c r="F5">
        <v>1</v>
      </c>
      <c r="G5">
        <v>1</v>
      </c>
      <c r="H5">
        <v>2</v>
      </c>
      <c r="I5" t="s">
        <v>471</v>
      </c>
      <c r="J5" t="s">
        <v>472</v>
      </c>
      <c r="K5" t="s">
        <v>473</v>
      </c>
      <c r="L5">
        <v>1368</v>
      </c>
      <c r="N5">
        <v>1011</v>
      </c>
      <c r="O5" t="s">
        <v>466</v>
      </c>
      <c r="P5" t="s">
        <v>466</v>
      </c>
      <c r="Q5">
        <v>1</v>
      </c>
      <c r="W5">
        <v>0</v>
      </c>
      <c r="X5">
        <v>-435889032</v>
      </c>
      <c r="Y5">
        <v>0.5750000000000001</v>
      </c>
      <c r="AA5">
        <v>0</v>
      </c>
      <c r="AB5">
        <v>98.9</v>
      </c>
      <c r="AC5">
        <v>24.53</v>
      </c>
      <c r="AD5">
        <v>0</v>
      </c>
      <c r="AE5">
        <v>0</v>
      </c>
      <c r="AF5">
        <v>98.9</v>
      </c>
      <c r="AG5">
        <v>24.53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0.46</v>
      </c>
      <c r="AU5" t="s">
        <v>19</v>
      </c>
      <c r="AV5">
        <v>0</v>
      </c>
      <c r="AW5">
        <v>2</v>
      </c>
      <c r="AX5">
        <v>51670032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4.025</v>
      </c>
      <c r="CY5">
        <f>AB5</f>
        <v>98.9</v>
      </c>
      <c r="CZ5">
        <f>AF5</f>
        <v>98.9</v>
      </c>
      <c r="DA5">
        <f>AJ5</f>
        <v>1</v>
      </c>
      <c r="DB5">
        <f>ROUND((ROUND(AT5*CZ5,2)*1.25),2)</f>
        <v>56.86</v>
      </c>
      <c r="DC5">
        <f>ROUND((ROUND(AT5*AG5,2)*1.25),2)</f>
        <v>14.1</v>
      </c>
    </row>
    <row r="6" spans="1:107" ht="12.75">
      <c r="A6">
        <f>ROW(Source!A29)</f>
        <v>29</v>
      </c>
      <c r="B6">
        <v>51669678</v>
      </c>
      <c r="C6">
        <v>51670025</v>
      </c>
      <c r="D6">
        <v>270762773</v>
      </c>
      <c r="E6">
        <v>1</v>
      </c>
      <c r="F6">
        <v>1</v>
      </c>
      <c r="G6">
        <v>1</v>
      </c>
      <c r="H6">
        <v>3</v>
      </c>
      <c r="I6" t="s">
        <v>35</v>
      </c>
      <c r="J6" t="s">
        <v>38</v>
      </c>
      <c r="K6" t="s">
        <v>36</v>
      </c>
      <c r="L6">
        <v>1348</v>
      </c>
      <c r="N6">
        <v>1009</v>
      </c>
      <c r="O6" t="s">
        <v>37</v>
      </c>
      <c r="P6" t="s">
        <v>37</v>
      </c>
      <c r="Q6">
        <v>1000</v>
      </c>
      <c r="W6">
        <v>0</v>
      </c>
      <c r="X6">
        <v>-182198044</v>
      </c>
      <c r="Y6">
        <v>1.4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T6">
        <v>1.4</v>
      </c>
      <c r="AV6">
        <v>0</v>
      </c>
      <c r="AW6">
        <v>2</v>
      </c>
      <c r="AX6">
        <v>51670033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9.799999999999999</v>
      </c>
      <c r="CY6">
        <f>AA6</f>
        <v>0</v>
      </c>
      <c r="CZ6">
        <f>AE6</f>
        <v>0</v>
      </c>
      <c r="DA6">
        <f>AI6</f>
        <v>1</v>
      </c>
      <c r="DB6">
        <f>ROUND(ROUND(AT6*CZ6,2),2)</f>
        <v>0</v>
      </c>
      <c r="DC6">
        <f>ROUND(ROUND(AT6*AG6,2),2)</f>
        <v>0</v>
      </c>
    </row>
    <row r="7" spans="1:107" ht="12.75">
      <c r="A7">
        <f>ROW(Source!A31)</f>
        <v>31</v>
      </c>
      <c r="B7">
        <v>51669678</v>
      </c>
      <c r="C7">
        <v>51670035</v>
      </c>
      <c r="D7">
        <v>202556134</v>
      </c>
      <c r="E7">
        <v>1</v>
      </c>
      <c r="F7">
        <v>1</v>
      </c>
      <c r="G7">
        <v>1</v>
      </c>
      <c r="H7">
        <v>1</v>
      </c>
      <c r="I7" t="s">
        <v>460</v>
      </c>
      <c r="K7" t="s">
        <v>461</v>
      </c>
      <c r="L7">
        <v>1369</v>
      </c>
      <c r="N7">
        <v>1013</v>
      </c>
      <c r="O7" t="s">
        <v>462</v>
      </c>
      <c r="P7" t="s">
        <v>462</v>
      </c>
      <c r="Q7">
        <v>1</v>
      </c>
      <c r="W7">
        <v>0</v>
      </c>
      <c r="X7">
        <v>-651338093</v>
      </c>
      <c r="Y7">
        <v>10.725</v>
      </c>
      <c r="AA7">
        <v>0</v>
      </c>
      <c r="AB7">
        <v>0</v>
      </c>
      <c r="AC7">
        <v>0</v>
      </c>
      <c r="AD7">
        <v>14.79</v>
      </c>
      <c r="AE7">
        <v>0</v>
      </c>
      <c r="AF7">
        <v>0</v>
      </c>
      <c r="AG7">
        <v>0</v>
      </c>
      <c r="AH7">
        <v>14.79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8.58</v>
      </c>
      <c r="AU7" t="s">
        <v>19</v>
      </c>
      <c r="AV7">
        <v>1</v>
      </c>
      <c r="AW7">
        <v>2</v>
      </c>
      <c r="AX7">
        <v>51670038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Y7*Source!I31</f>
        <v>1.99485</v>
      </c>
      <c r="CY7">
        <f>AD7</f>
        <v>14.79</v>
      </c>
      <c r="CZ7">
        <f>AH7</f>
        <v>14.79</v>
      </c>
      <c r="DA7">
        <f>AL7</f>
        <v>1</v>
      </c>
      <c r="DB7">
        <f>ROUND((ROUND(AT7*CZ7,2)*1.25),2)</f>
        <v>158.63</v>
      </c>
      <c r="DC7">
        <f>ROUND((ROUND(AT7*AG7,2)*1.25),2)</f>
        <v>0</v>
      </c>
    </row>
    <row r="8" spans="1:107" ht="12.75">
      <c r="A8">
        <f>ROW(Source!A31)</f>
        <v>31</v>
      </c>
      <c r="B8">
        <v>51669678</v>
      </c>
      <c r="C8">
        <v>51670035</v>
      </c>
      <c r="D8">
        <v>270771603</v>
      </c>
      <c r="E8">
        <v>1</v>
      </c>
      <c r="F8">
        <v>1</v>
      </c>
      <c r="G8">
        <v>1</v>
      </c>
      <c r="H8">
        <v>2</v>
      </c>
      <c r="I8" t="s">
        <v>463</v>
      </c>
      <c r="J8" t="s">
        <v>464</v>
      </c>
      <c r="K8" t="s">
        <v>465</v>
      </c>
      <c r="L8">
        <v>1368</v>
      </c>
      <c r="N8">
        <v>1011</v>
      </c>
      <c r="O8" t="s">
        <v>466</v>
      </c>
      <c r="P8" t="s">
        <v>466</v>
      </c>
      <c r="Q8">
        <v>1</v>
      </c>
      <c r="W8">
        <v>0</v>
      </c>
      <c r="X8">
        <v>-987378529</v>
      </c>
      <c r="Y8">
        <v>2.3499999999999996</v>
      </c>
      <c r="AA8">
        <v>0</v>
      </c>
      <c r="AB8">
        <v>6.68</v>
      </c>
      <c r="AC8">
        <v>0</v>
      </c>
      <c r="AD8">
        <v>0</v>
      </c>
      <c r="AE8">
        <v>0</v>
      </c>
      <c r="AF8">
        <v>6.68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1.88</v>
      </c>
      <c r="AU8" t="s">
        <v>19</v>
      </c>
      <c r="AV8">
        <v>0</v>
      </c>
      <c r="AW8">
        <v>2</v>
      </c>
      <c r="AX8">
        <v>51670039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0.43709999999999993</v>
      </c>
      <c r="CY8">
        <f>AB8</f>
        <v>6.68</v>
      </c>
      <c r="CZ8">
        <f>AF8</f>
        <v>6.68</v>
      </c>
      <c r="DA8">
        <f>AJ8</f>
        <v>1</v>
      </c>
      <c r="DB8">
        <f>ROUND((ROUND(AT8*CZ8,2)*1.25),2)</f>
        <v>15.7</v>
      </c>
      <c r="DC8">
        <f>ROUND((ROUND(AT8*AG8,2)*1.25),2)</f>
        <v>0</v>
      </c>
    </row>
    <row r="9" spans="1:107" ht="12.75">
      <c r="A9">
        <f>ROW(Source!A32)</f>
        <v>32</v>
      </c>
      <c r="B9">
        <v>51669678</v>
      </c>
      <c r="C9">
        <v>51670040</v>
      </c>
      <c r="D9">
        <v>202548993</v>
      </c>
      <c r="E9">
        <v>1</v>
      </c>
      <c r="F9">
        <v>1</v>
      </c>
      <c r="G9">
        <v>1</v>
      </c>
      <c r="H9">
        <v>1</v>
      </c>
      <c r="I9" t="s">
        <v>474</v>
      </c>
      <c r="K9" t="s">
        <v>475</v>
      </c>
      <c r="L9">
        <v>1369</v>
      </c>
      <c r="N9">
        <v>1013</v>
      </c>
      <c r="O9" t="s">
        <v>462</v>
      </c>
      <c r="P9" t="s">
        <v>462</v>
      </c>
      <c r="Q9">
        <v>1</v>
      </c>
      <c r="W9">
        <v>0</v>
      </c>
      <c r="X9">
        <v>888074361</v>
      </c>
      <c r="Y9">
        <v>12.86</v>
      </c>
      <c r="AA9">
        <v>0</v>
      </c>
      <c r="AB9">
        <v>0</v>
      </c>
      <c r="AC9">
        <v>0</v>
      </c>
      <c r="AD9">
        <v>16.17</v>
      </c>
      <c r="AE9">
        <v>0</v>
      </c>
      <c r="AF9">
        <v>0</v>
      </c>
      <c r="AG9">
        <v>0</v>
      </c>
      <c r="AH9">
        <v>16.17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12.86</v>
      </c>
      <c r="AU9" t="s">
        <v>52</v>
      </c>
      <c r="AV9">
        <v>1</v>
      </c>
      <c r="AW9">
        <v>2</v>
      </c>
      <c r="AX9">
        <v>51670049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252.056</v>
      </c>
      <c r="CY9">
        <f>AD9</f>
        <v>16.17</v>
      </c>
      <c r="CZ9">
        <f>AH9</f>
        <v>16.17</v>
      </c>
      <c r="DA9">
        <f>AL9</f>
        <v>1</v>
      </c>
      <c r="DB9">
        <f>ROUND(((ROUND(AT9*CZ9,2)*0.8)*1.25),2)</f>
        <v>207.95</v>
      </c>
      <c r="DC9">
        <f>ROUND(((ROUND(AT9*AG9,2)*0.8)*1.25),2)</f>
        <v>0</v>
      </c>
    </row>
    <row r="10" spans="1:107" ht="12.75">
      <c r="A10">
        <f>ROW(Source!A32)</f>
        <v>32</v>
      </c>
      <c r="B10">
        <v>51669678</v>
      </c>
      <c r="C10">
        <v>51670040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K10" t="s">
        <v>469</v>
      </c>
      <c r="L10">
        <v>608254</v>
      </c>
      <c r="N10">
        <v>1013</v>
      </c>
      <c r="O10" t="s">
        <v>470</v>
      </c>
      <c r="P10" t="s">
        <v>470</v>
      </c>
      <c r="Q10">
        <v>1</v>
      </c>
      <c r="W10">
        <v>0</v>
      </c>
      <c r="X10">
        <v>-185737400</v>
      </c>
      <c r="Y10">
        <v>0.15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0.15</v>
      </c>
      <c r="AU10" t="s">
        <v>52</v>
      </c>
      <c r="AV10">
        <v>2</v>
      </c>
      <c r="AW10">
        <v>2</v>
      </c>
      <c r="AX10">
        <v>51670050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2.94</v>
      </c>
      <c r="CY10">
        <f>AD10</f>
        <v>0</v>
      </c>
      <c r="CZ10">
        <f>AH10</f>
        <v>0</v>
      </c>
      <c r="DA10">
        <f>AL10</f>
        <v>1</v>
      </c>
      <c r="DB10">
        <f>ROUND(((ROUND(AT10*CZ10,2)*0.8)*1.25),2)</f>
        <v>0</v>
      </c>
      <c r="DC10">
        <f>ROUND(((ROUND(AT10*AG10,2)*0.8)*1.25),2)</f>
        <v>0</v>
      </c>
    </row>
    <row r="11" spans="1:107" ht="12.75">
      <c r="A11">
        <f>ROW(Source!A32)</f>
        <v>32</v>
      </c>
      <c r="B11">
        <v>51669678</v>
      </c>
      <c r="C11">
        <v>51670040</v>
      </c>
      <c r="D11">
        <v>270771467</v>
      </c>
      <c r="E11">
        <v>1</v>
      </c>
      <c r="F11">
        <v>1</v>
      </c>
      <c r="G11">
        <v>1</v>
      </c>
      <c r="H11">
        <v>2</v>
      </c>
      <c r="I11" t="s">
        <v>476</v>
      </c>
      <c r="J11" t="s">
        <v>477</v>
      </c>
      <c r="K11" t="s">
        <v>478</v>
      </c>
      <c r="L11">
        <v>1368</v>
      </c>
      <c r="N11">
        <v>1011</v>
      </c>
      <c r="O11" t="s">
        <v>466</v>
      </c>
      <c r="P11" t="s">
        <v>466</v>
      </c>
      <c r="Q11">
        <v>1</v>
      </c>
      <c r="W11">
        <v>0</v>
      </c>
      <c r="X11">
        <v>1617131323</v>
      </c>
      <c r="Y11">
        <v>0.15</v>
      </c>
      <c r="AA11">
        <v>0</v>
      </c>
      <c r="AB11">
        <v>125.73</v>
      </c>
      <c r="AC11">
        <v>24.53</v>
      </c>
      <c r="AD11">
        <v>0</v>
      </c>
      <c r="AE11">
        <v>0</v>
      </c>
      <c r="AF11">
        <v>125.73</v>
      </c>
      <c r="AG11">
        <v>24.53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0.15</v>
      </c>
      <c r="AU11" t="s">
        <v>52</v>
      </c>
      <c r="AV11">
        <v>0</v>
      </c>
      <c r="AW11">
        <v>2</v>
      </c>
      <c r="AX11">
        <v>51670051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2.94</v>
      </c>
      <c r="CY11">
        <f>AB11</f>
        <v>125.73</v>
      </c>
      <c r="CZ11">
        <f>AF11</f>
        <v>125.73</v>
      </c>
      <c r="DA11">
        <f>AJ11</f>
        <v>1</v>
      </c>
      <c r="DB11">
        <f>ROUND(((ROUND(AT11*CZ11,2)*0.8)*1.25),2)</f>
        <v>18.86</v>
      </c>
      <c r="DC11">
        <f>ROUND(((ROUND(AT11*AG11,2)*0.8)*1.25),2)</f>
        <v>3.68</v>
      </c>
    </row>
    <row r="12" spans="1:107" ht="12.75">
      <c r="A12">
        <f>ROW(Source!A32)</f>
        <v>32</v>
      </c>
      <c r="B12">
        <v>51669678</v>
      </c>
      <c r="C12">
        <v>51670040</v>
      </c>
      <c r="D12">
        <v>270774071</v>
      </c>
      <c r="E12">
        <v>1</v>
      </c>
      <c r="F12">
        <v>1</v>
      </c>
      <c r="G12">
        <v>1</v>
      </c>
      <c r="H12">
        <v>2</v>
      </c>
      <c r="I12" t="s">
        <v>479</v>
      </c>
      <c r="J12" t="s">
        <v>480</v>
      </c>
      <c r="K12" t="s">
        <v>481</v>
      </c>
      <c r="L12">
        <v>1368</v>
      </c>
      <c r="N12">
        <v>1011</v>
      </c>
      <c r="O12" t="s">
        <v>466</v>
      </c>
      <c r="P12" t="s">
        <v>466</v>
      </c>
      <c r="Q12">
        <v>1</v>
      </c>
      <c r="W12">
        <v>0</v>
      </c>
      <c r="X12">
        <v>1109194647</v>
      </c>
      <c r="Y12">
        <v>0.22000000000000003</v>
      </c>
      <c r="AA12">
        <v>0</v>
      </c>
      <c r="AB12">
        <v>119.95</v>
      </c>
      <c r="AC12">
        <v>20.99</v>
      </c>
      <c r="AD12">
        <v>0</v>
      </c>
      <c r="AE12">
        <v>0</v>
      </c>
      <c r="AF12">
        <v>119.95</v>
      </c>
      <c r="AG12">
        <v>20.99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0.22</v>
      </c>
      <c r="AU12" t="s">
        <v>52</v>
      </c>
      <c r="AV12">
        <v>0</v>
      </c>
      <c r="AW12">
        <v>2</v>
      </c>
      <c r="AX12">
        <v>51670052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4.312000000000001</v>
      </c>
      <c r="CY12">
        <f>AB12</f>
        <v>119.95</v>
      </c>
      <c r="CZ12">
        <f>AF12</f>
        <v>119.95</v>
      </c>
      <c r="DA12">
        <f>AJ12</f>
        <v>1</v>
      </c>
      <c r="DB12">
        <f>ROUND(((ROUND(AT12*CZ12,2)*0.8)*1.25),2)</f>
        <v>26.39</v>
      </c>
      <c r="DC12">
        <f>ROUND(((ROUND(AT12*AG12,2)*0.8)*1.25),2)</f>
        <v>4.62</v>
      </c>
    </row>
    <row r="13" spans="1:107" ht="12.75">
      <c r="A13">
        <f>ROW(Source!A32)</f>
        <v>32</v>
      </c>
      <c r="B13">
        <v>51669678</v>
      </c>
      <c r="C13">
        <v>51670040</v>
      </c>
      <c r="D13">
        <v>270723256</v>
      </c>
      <c r="E13">
        <v>1</v>
      </c>
      <c r="F13">
        <v>1</v>
      </c>
      <c r="G13">
        <v>1</v>
      </c>
      <c r="H13">
        <v>3</v>
      </c>
      <c r="I13" t="s">
        <v>482</v>
      </c>
      <c r="J13" t="s">
        <v>483</v>
      </c>
      <c r="K13" t="s">
        <v>484</v>
      </c>
      <c r="L13">
        <v>1348</v>
      </c>
      <c r="N13">
        <v>1009</v>
      </c>
      <c r="O13" t="s">
        <v>37</v>
      </c>
      <c r="P13" t="s">
        <v>37</v>
      </c>
      <c r="Q13">
        <v>1000</v>
      </c>
      <c r="W13">
        <v>0</v>
      </c>
      <c r="X13">
        <v>1228131796</v>
      </c>
      <c r="Y13">
        <v>0</v>
      </c>
      <c r="AA13">
        <v>2964.62</v>
      </c>
      <c r="AB13">
        <v>0</v>
      </c>
      <c r="AC13">
        <v>0</v>
      </c>
      <c r="AD13">
        <v>0</v>
      </c>
      <c r="AE13">
        <v>2964.62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0.00438</v>
      </c>
      <c r="AU13" t="s">
        <v>51</v>
      </c>
      <c r="AV13">
        <v>0</v>
      </c>
      <c r="AW13">
        <v>2</v>
      </c>
      <c r="AX13">
        <v>51670053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0</v>
      </c>
      <c r="CY13">
        <f>AA13</f>
        <v>2964.62</v>
      </c>
      <c r="CZ13">
        <f>AE13</f>
        <v>2964.62</v>
      </c>
      <c r="DA13">
        <f>AI13</f>
        <v>1</v>
      </c>
      <c r="DB13">
        <f>ROUND((ROUND(AT13*CZ13,2)*0),2)</f>
        <v>0</v>
      </c>
      <c r="DC13">
        <f>ROUND((ROUND(AT13*AG13,2)*0),2)</f>
        <v>0</v>
      </c>
    </row>
    <row r="14" spans="1:107" ht="12.75">
      <c r="A14">
        <f>ROW(Source!A32)</f>
        <v>32</v>
      </c>
      <c r="B14">
        <v>51669678</v>
      </c>
      <c r="C14">
        <v>51670040</v>
      </c>
      <c r="D14">
        <v>270718009</v>
      </c>
      <c r="E14">
        <v>1</v>
      </c>
      <c r="F14">
        <v>1</v>
      </c>
      <c r="G14">
        <v>1</v>
      </c>
      <c r="H14">
        <v>3</v>
      </c>
      <c r="I14" t="s">
        <v>485</v>
      </c>
      <c r="J14" t="s">
        <v>486</v>
      </c>
      <c r="K14" t="s">
        <v>487</v>
      </c>
      <c r="L14">
        <v>36015243</v>
      </c>
      <c r="N14">
        <v>1005</v>
      </c>
      <c r="O14" t="s">
        <v>182</v>
      </c>
      <c r="P14" t="s">
        <v>184</v>
      </c>
      <c r="Q14">
        <v>1</v>
      </c>
      <c r="W14">
        <v>0</v>
      </c>
      <c r="X14">
        <v>1449983063</v>
      </c>
      <c r="Y14">
        <v>0</v>
      </c>
      <c r="AA14">
        <v>4.6</v>
      </c>
      <c r="AB14">
        <v>0</v>
      </c>
      <c r="AC14">
        <v>0</v>
      </c>
      <c r="AD14">
        <v>0</v>
      </c>
      <c r="AE14">
        <v>4.6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3.38</v>
      </c>
      <c r="AU14" t="s">
        <v>51</v>
      </c>
      <c r="AV14">
        <v>0</v>
      </c>
      <c r="AW14">
        <v>2</v>
      </c>
      <c r="AX14">
        <v>51670054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0</v>
      </c>
      <c r="CY14">
        <f>AA14</f>
        <v>4.6</v>
      </c>
      <c r="CZ14">
        <f>AE14</f>
        <v>4.6</v>
      </c>
      <c r="DA14">
        <f>AI14</f>
        <v>1</v>
      </c>
      <c r="DB14">
        <f>ROUND((ROUND(AT14*CZ14,2)*0),2)</f>
        <v>0</v>
      </c>
      <c r="DC14">
        <f>ROUND((ROUND(AT14*AG14,2)*0),2)</f>
        <v>0</v>
      </c>
    </row>
    <row r="15" spans="1:107" ht="12.75">
      <c r="A15">
        <f>ROW(Source!A32)</f>
        <v>32</v>
      </c>
      <c r="B15">
        <v>51669678</v>
      </c>
      <c r="C15">
        <v>51670040</v>
      </c>
      <c r="D15">
        <v>270723982</v>
      </c>
      <c r="E15">
        <v>1</v>
      </c>
      <c r="F15">
        <v>1</v>
      </c>
      <c r="G15">
        <v>1</v>
      </c>
      <c r="H15">
        <v>3</v>
      </c>
      <c r="I15" t="s">
        <v>488</v>
      </c>
      <c r="J15" t="s">
        <v>489</v>
      </c>
      <c r="K15" t="s">
        <v>490</v>
      </c>
      <c r="L15">
        <v>1348</v>
      </c>
      <c r="N15">
        <v>1009</v>
      </c>
      <c r="O15" t="s">
        <v>37</v>
      </c>
      <c r="P15" t="s">
        <v>37</v>
      </c>
      <c r="Q15">
        <v>1000</v>
      </c>
      <c r="W15">
        <v>0</v>
      </c>
      <c r="X15">
        <v>-806456486</v>
      </c>
      <c r="Y15">
        <v>0</v>
      </c>
      <c r="AA15">
        <v>10672.41</v>
      </c>
      <c r="AB15">
        <v>0</v>
      </c>
      <c r="AC15">
        <v>0</v>
      </c>
      <c r="AD15">
        <v>0</v>
      </c>
      <c r="AE15">
        <v>10672.41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0.0072</v>
      </c>
      <c r="AU15" t="s">
        <v>51</v>
      </c>
      <c r="AV15">
        <v>0</v>
      </c>
      <c r="AW15">
        <v>2</v>
      </c>
      <c r="AX15">
        <v>51670055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0</v>
      </c>
      <c r="CY15">
        <f>AA15</f>
        <v>10672.41</v>
      </c>
      <c r="CZ15">
        <f>AE15</f>
        <v>10672.41</v>
      </c>
      <c r="DA15">
        <f>AI15</f>
        <v>1</v>
      </c>
      <c r="DB15">
        <f>ROUND((ROUND(AT15*CZ15,2)*0),2)</f>
        <v>0</v>
      </c>
      <c r="DC15">
        <f>ROUND((ROUND(AT15*AG15,2)*0),2)</f>
        <v>0</v>
      </c>
    </row>
    <row r="16" spans="1:107" ht="12.75">
      <c r="A16">
        <f>ROW(Source!A32)</f>
        <v>32</v>
      </c>
      <c r="B16">
        <v>51669678</v>
      </c>
      <c r="C16">
        <v>51670040</v>
      </c>
      <c r="D16">
        <v>270733083</v>
      </c>
      <c r="E16">
        <v>1</v>
      </c>
      <c r="F16">
        <v>1</v>
      </c>
      <c r="G16">
        <v>1</v>
      </c>
      <c r="H16">
        <v>3</v>
      </c>
      <c r="I16" t="s">
        <v>491</v>
      </c>
      <c r="J16" t="s">
        <v>492</v>
      </c>
      <c r="K16" t="s">
        <v>493</v>
      </c>
      <c r="L16">
        <v>1348</v>
      </c>
      <c r="N16">
        <v>1009</v>
      </c>
      <c r="O16" t="s">
        <v>37</v>
      </c>
      <c r="P16" t="s">
        <v>37</v>
      </c>
      <c r="Q16">
        <v>1000</v>
      </c>
      <c r="W16">
        <v>0</v>
      </c>
      <c r="X16">
        <v>-786242167</v>
      </c>
      <c r="Y16">
        <v>0</v>
      </c>
      <c r="AA16">
        <v>9903.12</v>
      </c>
      <c r="AB16">
        <v>0</v>
      </c>
      <c r="AC16">
        <v>0</v>
      </c>
      <c r="AD16">
        <v>0</v>
      </c>
      <c r="AE16">
        <v>9903.12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0.00196</v>
      </c>
      <c r="AU16" t="s">
        <v>51</v>
      </c>
      <c r="AV16">
        <v>0</v>
      </c>
      <c r="AW16">
        <v>2</v>
      </c>
      <c r="AX16">
        <v>51670056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0</v>
      </c>
      <c r="CY16">
        <f>AA16</f>
        <v>9903.12</v>
      </c>
      <c r="CZ16">
        <f>AE16</f>
        <v>9903.12</v>
      </c>
      <c r="DA16">
        <f>AI16</f>
        <v>1</v>
      </c>
      <c r="DB16">
        <f>ROUND((ROUND(AT16*CZ16,2)*0),2)</f>
        <v>0</v>
      </c>
      <c r="DC16">
        <f>ROUND((ROUND(AT16*AG16,2)*0),2)</f>
        <v>0</v>
      </c>
    </row>
    <row r="17" spans="1:107" ht="12.75">
      <c r="A17">
        <f>ROW(Source!A33)</f>
        <v>33</v>
      </c>
      <c r="B17">
        <v>51669678</v>
      </c>
      <c r="C17">
        <v>51670057</v>
      </c>
      <c r="D17">
        <v>202556134</v>
      </c>
      <c r="E17">
        <v>1</v>
      </c>
      <c r="F17">
        <v>1</v>
      </c>
      <c r="G17">
        <v>1</v>
      </c>
      <c r="H17">
        <v>1</v>
      </c>
      <c r="I17" t="s">
        <v>460</v>
      </c>
      <c r="K17" t="s">
        <v>461</v>
      </c>
      <c r="L17">
        <v>1369</v>
      </c>
      <c r="N17">
        <v>1013</v>
      </c>
      <c r="O17" t="s">
        <v>462</v>
      </c>
      <c r="P17" t="s">
        <v>462</v>
      </c>
      <c r="Q17">
        <v>1</v>
      </c>
      <c r="W17">
        <v>0</v>
      </c>
      <c r="X17">
        <v>-651338093</v>
      </c>
      <c r="Y17">
        <v>11.512500000000001</v>
      </c>
      <c r="AA17">
        <v>0</v>
      </c>
      <c r="AB17">
        <v>0</v>
      </c>
      <c r="AC17">
        <v>0</v>
      </c>
      <c r="AD17">
        <v>14.79</v>
      </c>
      <c r="AE17">
        <v>0</v>
      </c>
      <c r="AF17">
        <v>0</v>
      </c>
      <c r="AG17">
        <v>0</v>
      </c>
      <c r="AH17">
        <v>14.79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9.21</v>
      </c>
      <c r="AU17" t="s">
        <v>19</v>
      </c>
      <c r="AV17">
        <v>1</v>
      </c>
      <c r="AW17">
        <v>2</v>
      </c>
      <c r="AX17">
        <v>51670061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Y17*Source!I33</f>
        <v>64.47</v>
      </c>
      <c r="CY17">
        <f>AD17</f>
        <v>14.79</v>
      </c>
      <c r="CZ17">
        <f>AH17</f>
        <v>14.79</v>
      </c>
      <c r="DA17">
        <f>AL17</f>
        <v>1</v>
      </c>
      <c r="DB17">
        <f>ROUND((ROUND(AT17*CZ17,2)*1.25),2)</f>
        <v>170.28</v>
      </c>
      <c r="DC17">
        <f>ROUND((ROUND(AT17*AG17,2)*1.25),2)</f>
        <v>0</v>
      </c>
    </row>
    <row r="18" spans="1:107" ht="12.75">
      <c r="A18">
        <f>ROW(Source!A33)</f>
        <v>33</v>
      </c>
      <c r="B18">
        <v>51669678</v>
      </c>
      <c r="C18">
        <v>51670057</v>
      </c>
      <c r="D18">
        <v>270771601</v>
      </c>
      <c r="E18">
        <v>1</v>
      </c>
      <c r="F18">
        <v>1</v>
      </c>
      <c r="G18">
        <v>1</v>
      </c>
      <c r="H18">
        <v>2</v>
      </c>
      <c r="I18" t="s">
        <v>494</v>
      </c>
      <c r="J18" t="s">
        <v>495</v>
      </c>
      <c r="K18" t="s">
        <v>496</v>
      </c>
      <c r="L18">
        <v>1368</v>
      </c>
      <c r="N18">
        <v>1011</v>
      </c>
      <c r="O18" t="s">
        <v>466</v>
      </c>
      <c r="P18" t="s">
        <v>466</v>
      </c>
      <c r="Q18">
        <v>1</v>
      </c>
      <c r="W18">
        <v>0</v>
      </c>
      <c r="X18">
        <v>-2091219937</v>
      </c>
      <c r="Y18">
        <v>0.1375</v>
      </c>
      <c r="AA18">
        <v>0</v>
      </c>
      <c r="AB18">
        <v>1.71</v>
      </c>
      <c r="AC18">
        <v>0</v>
      </c>
      <c r="AD18">
        <v>0</v>
      </c>
      <c r="AE18">
        <v>0</v>
      </c>
      <c r="AF18">
        <v>1.71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0.11</v>
      </c>
      <c r="AU18" t="s">
        <v>19</v>
      </c>
      <c r="AV18">
        <v>0</v>
      </c>
      <c r="AW18">
        <v>2</v>
      </c>
      <c r="AX18">
        <v>51670062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Y18*Source!I33</f>
        <v>0.77</v>
      </c>
      <c r="CY18">
        <f>AB18</f>
        <v>1.71</v>
      </c>
      <c r="CZ18">
        <f>AF18</f>
        <v>1.71</v>
      </c>
      <c r="DA18">
        <f>AJ18</f>
        <v>1</v>
      </c>
      <c r="DB18">
        <f>ROUND((ROUND(AT18*CZ18,2)*1.25),2)</f>
        <v>0.24</v>
      </c>
      <c r="DC18">
        <f>ROUND((ROUND(AT18*AG18,2)*1.25),2)</f>
        <v>0</v>
      </c>
    </row>
    <row r="19" spans="1:107" ht="12.75">
      <c r="A19">
        <f>ROW(Source!A33)</f>
        <v>33</v>
      </c>
      <c r="B19">
        <v>51669678</v>
      </c>
      <c r="C19">
        <v>51670057</v>
      </c>
      <c r="D19">
        <v>270762773</v>
      </c>
      <c r="E19">
        <v>1</v>
      </c>
      <c r="F19">
        <v>1</v>
      </c>
      <c r="G19">
        <v>1</v>
      </c>
      <c r="H19">
        <v>3</v>
      </c>
      <c r="I19" t="s">
        <v>35</v>
      </c>
      <c r="J19" t="s">
        <v>38</v>
      </c>
      <c r="K19" t="s">
        <v>36</v>
      </c>
      <c r="L19">
        <v>1348</v>
      </c>
      <c r="N19">
        <v>1009</v>
      </c>
      <c r="O19" t="s">
        <v>37</v>
      </c>
      <c r="P19" t="s">
        <v>37</v>
      </c>
      <c r="Q19">
        <v>1000</v>
      </c>
      <c r="W19">
        <v>0</v>
      </c>
      <c r="X19">
        <v>-182198044</v>
      </c>
      <c r="Y19">
        <v>0.1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0.1</v>
      </c>
      <c r="AV19">
        <v>0</v>
      </c>
      <c r="AW19">
        <v>2</v>
      </c>
      <c r="AX19">
        <v>51670063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Y19*Source!I33</f>
        <v>0.5599999999999999</v>
      </c>
      <c r="CY19">
        <f>AA19</f>
        <v>0</v>
      </c>
      <c r="CZ19">
        <f>AE19</f>
        <v>0</v>
      </c>
      <c r="DA19">
        <f>AI19</f>
        <v>1</v>
      </c>
      <c r="DB19">
        <f>ROUND(ROUND(AT19*CZ19,2),2)</f>
        <v>0</v>
      </c>
      <c r="DC19">
        <f>ROUND(ROUND(AT19*AG19,2),2)</f>
        <v>0</v>
      </c>
    </row>
    <row r="20" spans="1:107" ht="12.75">
      <c r="A20">
        <f>ROW(Source!A35)</f>
        <v>35</v>
      </c>
      <c r="B20">
        <v>51669678</v>
      </c>
      <c r="C20">
        <v>51670065</v>
      </c>
      <c r="D20">
        <v>202548993</v>
      </c>
      <c r="E20">
        <v>1</v>
      </c>
      <c r="F20">
        <v>1</v>
      </c>
      <c r="G20">
        <v>1</v>
      </c>
      <c r="H20">
        <v>1</v>
      </c>
      <c r="I20" t="s">
        <v>474</v>
      </c>
      <c r="K20" t="s">
        <v>475</v>
      </c>
      <c r="L20">
        <v>1369</v>
      </c>
      <c r="N20">
        <v>1013</v>
      </c>
      <c r="O20" t="s">
        <v>462</v>
      </c>
      <c r="P20" t="s">
        <v>462</v>
      </c>
      <c r="Q20">
        <v>1</v>
      </c>
      <c r="W20">
        <v>0</v>
      </c>
      <c r="X20">
        <v>888074361</v>
      </c>
      <c r="Y20">
        <v>23.375</v>
      </c>
      <c r="AA20">
        <v>0</v>
      </c>
      <c r="AB20">
        <v>0</v>
      </c>
      <c r="AC20">
        <v>0</v>
      </c>
      <c r="AD20">
        <v>16.17</v>
      </c>
      <c r="AE20">
        <v>0</v>
      </c>
      <c r="AF20">
        <v>0</v>
      </c>
      <c r="AG20">
        <v>0</v>
      </c>
      <c r="AH20">
        <v>16.17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18.7</v>
      </c>
      <c r="AU20" t="s">
        <v>19</v>
      </c>
      <c r="AV20">
        <v>1</v>
      </c>
      <c r="AW20">
        <v>2</v>
      </c>
      <c r="AX20">
        <v>51670071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23.14125</v>
      </c>
      <c r="CY20">
        <f>AD20</f>
        <v>16.17</v>
      </c>
      <c r="CZ20">
        <f>AH20</f>
        <v>16.17</v>
      </c>
      <c r="DA20">
        <f>AL20</f>
        <v>1</v>
      </c>
      <c r="DB20">
        <f>ROUND((ROUND(AT20*CZ20,2)*1.25),2)</f>
        <v>377.98</v>
      </c>
      <c r="DC20">
        <f>ROUND((ROUND(AT20*AG20,2)*1.25),2)</f>
        <v>0</v>
      </c>
    </row>
    <row r="21" spans="1:107" ht="12.75">
      <c r="A21">
        <f>ROW(Source!A35)</f>
        <v>35</v>
      </c>
      <c r="B21">
        <v>51669678</v>
      </c>
      <c r="C21">
        <v>51670065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26</v>
      </c>
      <c r="K21" t="s">
        <v>469</v>
      </c>
      <c r="L21">
        <v>608254</v>
      </c>
      <c r="N21">
        <v>1013</v>
      </c>
      <c r="O21" t="s">
        <v>470</v>
      </c>
      <c r="P21" t="s">
        <v>470</v>
      </c>
      <c r="Q21">
        <v>1</v>
      </c>
      <c r="W21">
        <v>0</v>
      </c>
      <c r="X21">
        <v>-185737400</v>
      </c>
      <c r="Y21">
        <v>0.0125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0.01</v>
      </c>
      <c r="AU21" t="s">
        <v>19</v>
      </c>
      <c r="AV21">
        <v>2</v>
      </c>
      <c r="AW21">
        <v>2</v>
      </c>
      <c r="AX21">
        <v>51670072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Y21*Source!I35</f>
        <v>0.012375</v>
      </c>
      <c r="CY21">
        <f>AD21</f>
        <v>0</v>
      </c>
      <c r="CZ21">
        <f>AH21</f>
        <v>0</v>
      </c>
      <c r="DA21">
        <f>AL21</f>
        <v>1</v>
      </c>
      <c r="DB21">
        <f>ROUND((ROUND(AT21*CZ21,2)*1.25),2)</f>
        <v>0</v>
      </c>
      <c r="DC21">
        <f>ROUND((ROUND(AT21*AG21,2)*1.25),2)</f>
        <v>0</v>
      </c>
    </row>
    <row r="22" spans="1:107" ht="12.75">
      <c r="A22">
        <f>ROW(Source!A35)</f>
        <v>35</v>
      </c>
      <c r="B22">
        <v>51669678</v>
      </c>
      <c r="C22">
        <v>51670065</v>
      </c>
      <c r="D22">
        <v>270771644</v>
      </c>
      <c r="E22">
        <v>1</v>
      </c>
      <c r="F22">
        <v>1</v>
      </c>
      <c r="G22">
        <v>1</v>
      </c>
      <c r="H22">
        <v>2</v>
      </c>
      <c r="I22" t="s">
        <v>497</v>
      </c>
      <c r="J22" t="s">
        <v>498</v>
      </c>
      <c r="K22" t="s">
        <v>499</v>
      </c>
      <c r="L22">
        <v>1368</v>
      </c>
      <c r="N22">
        <v>1011</v>
      </c>
      <c r="O22" t="s">
        <v>466</v>
      </c>
      <c r="P22" t="s">
        <v>466</v>
      </c>
      <c r="Q22">
        <v>1</v>
      </c>
      <c r="W22">
        <v>0</v>
      </c>
      <c r="X22">
        <v>1104828927</v>
      </c>
      <c r="Y22">
        <v>0.0125</v>
      </c>
      <c r="AA22">
        <v>0</v>
      </c>
      <c r="AB22">
        <v>41.7</v>
      </c>
      <c r="AC22">
        <v>24.53</v>
      </c>
      <c r="AD22">
        <v>0</v>
      </c>
      <c r="AE22">
        <v>0</v>
      </c>
      <c r="AF22">
        <v>41.7</v>
      </c>
      <c r="AG22">
        <v>24.53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0.01</v>
      </c>
      <c r="AU22" t="s">
        <v>19</v>
      </c>
      <c r="AV22">
        <v>0</v>
      </c>
      <c r="AW22">
        <v>2</v>
      </c>
      <c r="AX22">
        <v>51670073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Y22*Source!I35</f>
        <v>0.012375</v>
      </c>
      <c r="CY22">
        <f>AB22</f>
        <v>41.7</v>
      </c>
      <c r="CZ22">
        <f>AF22</f>
        <v>41.7</v>
      </c>
      <c r="DA22">
        <f>AJ22</f>
        <v>1</v>
      </c>
      <c r="DB22">
        <f>ROUND((ROUND(AT22*CZ22,2)*1.25),2)</f>
        <v>0.53</v>
      </c>
      <c r="DC22">
        <f>ROUND((ROUND(AT22*AG22,2)*1.25),2)</f>
        <v>0.31</v>
      </c>
    </row>
    <row r="23" spans="1:107" ht="12.75">
      <c r="A23">
        <f>ROW(Source!A35)</f>
        <v>35</v>
      </c>
      <c r="B23">
        <v>51669678</v>
      </c>
      <c r="C23">
        <v>51670065</v>
      </c>
      <c r="D23">
        <v>270705163</v>
      </c>
      <c r="E23">
        <v>1</v>
      </c>
      <c r="F23">
        <v>1</v>
      </c>
      <c r="G23">
        <v>1</v>
      </c>
      <c r="H23">
        <v>3</v>
      </c>
      <c r="I23" t="s">
        <v>500</v>
      </c>
      <c r="J23" t="s">
        <v>501</v>
      </c>
      <c r="K23" t="s">
        <v>502</v>
      </c>
      <c r="L23">
        <v>1348</v>
      </c>
      <c r="N23">
        <v>1009</v>
      </c>
      <c r="O23" t="s">
        <v>37</v>
      </c>
      <c r="P23" t="s">
        <v>37</v>
      </c>
      <c r="Q23">
        <v>1000</v>
      </c>
      <c r="W23">
        <v>0</v>
      </c>
      <c r="X23">
        <v>-1800444418</v>
      </c>
      <c r="Y23">
        <v>0.04</v>
      </c>
      <c r="AA23">
        <v>890.47</v>
      </c>
      <c r="AB23">
        <v>0</v>
      </c>
      <c r="AC23">
        <v>0</v>
      </c>
      <c r="AD23">
        <v>0</v>
      </c>
      <c r="AE23">
        <v>890.47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0.04</v>
      </c>
      <c r="AV23">
        <v>0</v>
      </c>
      <c r="AW23">
        <v>2</v>
      </c>
      <c r="AX23">
        <v>51670074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Y23*Source!I35</f>
        <v>0.0396</v>
      </c>
      <c r="CY23">
        <f>AA23</f>
        <v>890.47</v>
      </c>
      <c r="CZ23">
        <f>AE23</f>
        <v>890.47</v>
      </c>
      <c r="DA23">
        <f>AI23</f>
        <v>1</v>
      </c>
      <c r="DB23">
        <f>ROUND(ROUND(AT23*CZ23,2),2)</f>
        <v>35.62</v>
      </c>
      <c r="DC23">
        <f>ROUND(ROUND(AT23*AG23,2),2)</f>
        <v>0</v>
      </c>
    </row>
    <row r="24" spans="1:107" ht="12.75">
      <c r="A24">
        <f>ROW(Source!A35)</f>
        <v>35</v>
      </c>
      <c r="B24">
        <v>51669678</v>
      </c>
      <c r="C24">
        <v>51670065</v>
      </c>
      <c r="D24">
        <v>270705963</v>
      </c>
      <c r="E24">
        <v>1</v>
      </c>
      <c r="F24">
        <v>1</v>
      </c>
      <c r="G24">
        <v>1</v>
      </c>
      <c r="H24">
        <v>3</v>
      </c>
      <c r="I24" t="s">
        <v>503</v>
      </c>
      <c r="J24" t="s">
        <v>504</v>
      </c>
      <c r="K24" t="s">
        <v>505</v>
      </c>
      <c r="L24">
        <v>1339</v>
      </c>
      <c r="N24">
        <v>1007</v>
      </c>
      <c r="O24" t="s">
        <v>149</v>
      </c>
      <c r="P24" t="s">
        <v>149</v>
      </c>
      <c r="Q24">
        <v>1</v>
      </c>
      <c r="W24">
        <v>0</v>
      </c>
      <c r="X24">
        <v>-1544397134</v>
      </c>
      <c r="Y24">
        <v>0.017</v>
      </c>
      <c r="AA24">
        <v>2.16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0.017</v>
      </c>
      <c r="AV24">
        <v>0</v>
      </c>
      <c r="AW24">
        <v>2</v>
      </c>
      <c r="AX24">
        <v>51670075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Y24*Source!I35</f>
        <v>0.01683</v>
      </c>
      <c r="CY24">
        <f>AA24</f>
        <v>2.16</v>
      </c>
      <c r="CZ24">
        <f>AE24</f>
        <v>2.16</v>
      </c>
      <c r="DA24">
        <f>AI24</f>
        <v>1</v>
      </c>
      <c r="DB24">
        <f>ROUND(ROUND(AT24*CZ24,2),2)</f>
        <v>0.04</v>
      </c>
      <c r="DC24">
        <f>ROUND(ROUND(AT24*AG24,2),2)</f>
        <v>0</v>
      </c>
    </row>
    <row r="25" spans="1:107" ht="12.75">
      <c r="A25">
        <f>ROW(Source!A36)</f>
        <v>36</v>
      </c>
      <c r="B25">
        <v>51669678</v>
      </c>
      <c r="C25">
        <v>51670917</v>
      </c>
      <c r="D25">
        <v>202542883</v>
      </c>
      <c r="E25">
        <v>1</v>
      </c>
      <c r="F25">
        <v>1</v>
      </c>
      <c r="G25">
        <v>1</v>
      </c>
      <c r="H25">
        <v>1</v>
      </c>
      <c r="I25" t="s">
        <v>506</v>
      </c>
      <c r="K25" t="s">
        <v>507</v>
      </c>
      <c r="L25">
        <v>1369</v>
      </c>
      <c r="N25">
        <v>1013</v>
      </c>
      <c r="O25" t="s">
        <v>462</v>
      </c>
      <c r="P25" t="s">
        <v>462</v>
      </c>
      <c r="Q25">
        <v>1</v>
      </c>
      <c r="W25">
        <v>0</v>
      </c>
      <c r="X25">
        <v>-1719412295</v>
      </c>
      <c r="Y25">
        <v>8.5284</v>
      </c>
      <c r="AA25">
        <v>0</v>
      </c>
      <c r="AB25">
        <v>0</v>
      </c>
      <c r="AC25">
        <v>0</v>
      </c>
      <c r="AD25">
        <v>17.83</v>
      </c>
      <c r="AE25">
        <v>0</v>
      </c>
      <c r="AF25">
        <v>0</v>
      </c>
      <c r="AG25">
        <v>0</v>
      </c>
      <c r="AH25">
        <v>17.83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9.27</v>
      </c>
      <c r="AU25" t="s">
        <v>75</v>
      </c>
      <c r="AV25">
        <v>1</v>
      </c>
      <c r="AW25">
        <v>2</v>
      </c>
      <c r="AX25">
        <v>51670924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528.7608</v>
      </c>
      <c r="CY25">
        <f>AD25</f>
        <v>17.83</v>
      </c>
      <c r="CZ25">
        <f>AH25</f>
        <v>17.83</v>
      </c>
      <c r="DA25">
        <f>AL25</f>
        <v>1</v>
      </c>
      <c r="DB25">
        <f>ROUND(((ROUND(AT25*CZ25,2)*1.15)*0.8),2)</f>
        <v>152.06</v>
      </c>
      <c r="DC25">
        <f>ROUND(((ROUND(AT25*AG25,2)*1.15)*0.8),2)</f>
        <v>0</v>
      </c>
    </row>
    <row r="26" spans="1:107" ht="12.75">
      <c r="A26">
        <f>ROW(Source!A36)</f>
        <v>36</v>
      </c>
      <c r="B26">
        <v>51669678</v>
      </c>
      <c r="C26">
        <v>51670917</v>
      </c>
      <c r="D26">
        <v>270771603</v>
      </c>
      <c r="E26">
        <v>1</v>
      </c>
      <c r="F26">
        <v>1</v>
      </c>
      <c r="G26">
        <v>1</v>
      </c>
      <c r="H26">
        <v>2</v>
      </c>
      <c r="I26" t="s">
        <v>463</v>
      </c>
      <c r="J26" t="s">
        <v>464</v>
      </c>
      <c r="K26" t="s">
        <v>465</v>
      </c>
      <c r="L26">
        <v>1368</v>
      </c>
      <c r="N26">
        <v>1011</v>
      </c>
      <c r="O26" t="s">
        <v>466</v>
      </c>
      <c r="P26" t="s">
        <v>466</v>
      </c>
      <c r="Q26">
        <v>1</v>
      </c>
      <c r="W26">
        <v>0</v>
      </c>
      <c r="X26">
        <v>-987378529</v>
      </c>
      <c r="Y26">
        <v>0.44000000000000006</v>
      </c>
      <c r="AA26">
        <v>0</v>
      </c>
      <c r="AB26">
        <v>6.68</v>
      </c>
      <c r="AC26">
        <v>0</v>
      </c>
      <c r="AD26">
        <v>0</v>
      </c>
      <c r="AE26">
        <v>0</v>
      </c>
      <c r="AF26">
        <v>6.68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0.44</v>
      </c>
      <c r="AU26" t="s">
        <v>74</v>
      </c>
      <c r="AV26">
        <v>0</v>
      </c>
      <c r="AW26">
        <v>2</v>
      </c>
      <c r="AX26">
        <v>51670925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27.280000000000005</v>
      </c>
      <c r="CY26">
        <f>AB26</f>
        <v>6.68</v>
      </c>
      <c r="CZ26">
        <f>AF26</f>
        <v>6.68</v>
      </c>
      <c r="DA26">
        <f>AJ26</f>
        <v>1</v>
      </c>
      <c r="DB26">
        <f>ROUND(((ROUND(AT26*CZ26,2)*1.25)*0.8),2)</f>
        <v>2.94</v>
      </c>
      <c r="DC26">
        <f>ROUND(((ROUND(AT26*AG26,2)*1.25)*0.8),2)</f>
        <v>0</v>
      </c>
    </row>
    <row r="27" spans="1:107" ht="12.75">
      <c r="A27">
        <f>ROW(Source!A36)</f>
        <v>36</v>
      </c>
      <c r="B27">
        <v>51669678</v>
      </c>
      <c r="C27">
        <v>51670917</v>
      </c>
      <c r="D27">
        <v>270772347</v>
      </c>
      <c r="E27">
        <v>1</v>
      </c>
      <c r="F27">
        <v>1</v>
      </c>
      <c r="G27">
        <v>1</v>
      </c>
      <c r="H27">
        <v>2</v>
      </c>
      <c r="I27" t="s">
        <v>508</v>
      </c>
      <c r="J27" t="s">
        <v>509</v>
      </c>
      <c r="K27" t="s">
        <v>510</v>
      </c>
      <c r="L27">
        <v>1368</v>
      </c>
      <c r="N27">
        <v>1011</v>
      </c>
      <c r="O27" t="s">
        <v>466</v>
      </c>
      <c r="P27" t="s">
        <v>466</v>
      </c>
      <c r="Q27">
        <v>1</v>
      </c>
      <c r="W27">
        <v>0</v>
      </c>
      <c r="X27">
        <v>-1259093144</v>
      </c>
      <c r="Y27">
        <v>0.29</v>
      </c>
      <c r="AA27">
        <v>0</v>
      </c>
      <c r="AB27">
        <v>30.59</v>
      </c>
      <c r="AC27">
        <v>0</v>
      </c>
      <c r="AD27">
        <v>0</v>
      </c>
      <c r="AE27">
        <v>0</v>
      </c>
      <c r="AF27">
        <v>30.59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0.29</v>
      </c>
      <c r="AU27" t="s">
        <v>74</v>
      </c>
      <c r="AV27">
        <v>0</v>
      </c>
      <c r="AW27">
        <v>2</v>
      </c>
      <c r="AX27">
        <v>51670926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Y27*Source!I36</f>
        <v>17.98</v>
      </c>
      <c r="CY27">
        <f>AB27</f>
        <v>30.59</v>
      </c>
      <c r="CZ27">
        <f>AF27</f>
        <v>30.59</v>
      </c>
      <c r="DA27">
        <f>AJ27</f>
        <v>1</v>
      </c>
      <c r="DB27">
        <f>ROUND(((ROUND(AT27*CZ27,2)*1.25)*0.8),2)</f>
        <v>8.87</v>
      </c>
      <c r="DC27">
        <f>ROUND(((ROUND(AT27*AG27,2)*1.25)*0.8),2)</f>
        <v>0</v>
      </c>
    </row>
    <row r="28" spans="1:107" ht="12.75">
      <c r="A28">
        <f>ROW(Source!A36)</f>
        <v>36</v>
      </c>
      <c r="B28">
        <v>51669678</v>
      </c>
      <c r="C28">
        <v>51670917</v>
      </c>
      <c r="D28">
        <v>270774071</v>
      </c>
      <c r="E28">
        <v>1</v>
      </c>
      <c r="F28">
        <v>1</v>
      </c>
      <c r="G28">
        <v>1</v>
      </c>
      <c r="H28">
        <v>2</v>
      </c>
      <c r="I28" t="s">
        <v>479</v>
      </c>
      <c r="J28" t="s">
        <v>480</v>
      </c>
      <c r="K28" t="s">
        <v>481</v>
      </c>
      <c r="L28">
        <v>1368</v>
      </c>
      <c r="N28">
        <v>1011</v>
      </c>
      <c r="O28" t="s">
        <v>466</v>
      </c>
      <c r="P28" t="s">
        <v>466</v>
      </c>
      <c r="Q28">
        <v>1</v>
      </c>
      <c r="W28">
        <v>0</v>
      </c>
      <c r="X28">
        <v>1109194647</v>
      </c>
      <c r="Y28">
        <v>0.3400000000000001</v>
      </c>
      <c r="AA28">
        <v>0</v>
      </c>
      <c r="AB28">
        <v>119.95</v>
      </c>
      <c r="AC28">
        <v>20.99</v>
      </c>
      <c r="AD28">
        <v>0</v>
      </c>
      <c r="AE28">
        <v>0</v>
      </c>
      <c r="AF28">
        <v>119.95</v>
      </c>
      <c r="AG28">
        <v>20.99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0.34</v>
      </c>
      <c r="AU28" t="s">
        <v>74</v>
      </c>
      <c r="AV28">
        <v>0</v>
      </c>
      <c r="AW28">
        <v>2</v>
      </c>
      <c r="AX28">
        <v>51670927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21.080000000000005</v>
      </c>
      <c r="CY28">
        <f>AB28</f>
        <v>119.95</v>
      </c>
      <c r="CZ28">
        <f>AF28</f>
        <v>119.95</v>
      </c>
      <c r="DA28">
        <f>AJ28</f>
        <v>1</v>
      </c>
      <c r="DB28">
        <f>ROUND(((ROUND(AT28*CZ28,2)*1.25)*0.8),2)</f>
        <v>40.78</v>
      </c>
      <c r="DC28">
        <f>ROUND(((ROUND(AT28*AG28,2)*1.25)*0.8),2)</f>
        <v>7.14</v>
      </c>
    </row>
    <row r="29" spans="1:107" ht="12.75">
      <c r="A29">
        <f>ROW(Source!A36)</f>
        <v>36</v>
      </c>
      <c r="B29">
        <v>51669678</v>
      </c>
      <c r="C29">
        <v>51670917</v>
      </c>
      <c r="D29">
        <v>270717046</v>
      </c>
      <c r="E29">
        <v>1</v>
      </c>
      <c r="F29">
        <v>1</v>
      </c>
      <c r="G29">
        <v>1</v>
      </c>
      <c r="H29">
        <v>3</v>
      </c>
      <c r="I29" t="s">
        <v>511</v>
      </c>
      <c r="J29" t="s">
        <v>512</v>
      </c>
      <c r="K29" t="s">
        <v>513</v>
      </c>
      <c r="L29">
        <v>1348</v>
      </c>
      <c r="N29">
        <v>1009</v>
      </c>
      <c r="O29" t="s">
        <v>37</v>
      </c>
      <c r="P29" t="s">
        <v>37</v>
      </c>
      <c r="Q29">
        <v>1000</v>
      </c>
      <c r="W29">
        <v>0</v>
      </c>
      <c r="X29">
        <v>-1812183962</v>
      </c>
      <c r="Y29">
        <v>0</v>
      </c>
      <c r="AA29">
        <v>1808.47</v>
      </c>
      <c r="AB29">
        <v>0</v>
      </c>
      <c r="AC29">
        <v>0</v>
      </c>
      <c r="AD29">
        <v>0</v>
      </c>
      <c r="AE29">
        <v>1808.47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0.05</v>
      </c>
      <c r="AU29" t="s">
        <v>51</v>
      </c>
      <c r="AV29">
        <v>0</v>
      </c>
      <c r="AW29">
        <v>2</v>
      </c>
      <c r="AX29">
        <v>51670928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0</v>
      </c>
      <c r="CY29">
        <f>AA29</f>
        <v>1808.47</v>
      </c>
      <c r="CZ29">
        <f>AE29</f>
        <v>1808.47</v>
      </c>
      <c r="DA29">
        <f>AI29</f>
        <v>1</v>
      </c>
      <c r="DB29">
        <f>ROUND((ROUND(AT29*CZ29,2)*0),2)</f>
        <v>0</v>
      </c>
      <c r="DC29">
        <f>ROUND((ROUND(AT29*AG29,2)*0),2)</f>
        <v>0</v>
      </c>
    </row>
    <row r="30" spans="1:107" ht="12.75">
      <c r="A30">
        <f>ROW(Source!A36)</f>
        <v>36</v>
      </c>
      <c r="B30">
        <v>51669678</v>
      </c>
      <c r="C30">
        <v>51670917</v>
      </c>
      <c r="D30">
        <v>270728628</v>
      </c>
      <c r="E30">
        <v>1</v>
      </c>
      <c r="F30">
        <v>1</v>
      </c>
      <c r="G30">
        <v>1</v>
      </c>
      <c r="H30">
        <v>3</v>
      </c>
      <c r="I30" t="s">
        <v>514</v>
      </c>
      <c r="J30" t="s">
        <v>515</v>
      </c>
      <c r="K30" t="s">
        <v>516</v>
      </c>
      <c r="L30">
        <v>1339</v>
      </c>
      <c r="N30">
        <v>1007</v>
      </c>
      <c r="O30" t="s">
        <v>149</v>
      </c>
      <c r="P30" t="s">
        <v>149</v>
      </c>
      <c r="Q30">
        <v>1</v>
      </c>
      <c r="W30">
        <v>0</v>
      </c>
      <c r="X30">
        <v>2147260277</v>
      </c>
      <c r="Y30">
        <v>0</v>
      </c>
      <c r="AA30">
        <v>910.62</v>
      </c>
      <c r="AB30">
        <v>0</v>
      </c>
      <c r="AC30">
        <v>0</v>
      </c>
      <c r="AD30">
        <v>0</v>
      </c>
      <c r="AE30">
        <v>910.62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0.99</v>
      </c>
      <c r="AU30" t="s">
        <v>51</v>
      </c>
      <c r="AV30">
        <v>0</v>
      </c>
      <c r="AW30">
        <v>2</v>
      </c>
      <c r="AX30">
        <v>51670929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Y30*Source!I36</f>
        <v>0</v>
      </c>
      <c r="CY30">
        <f>AA30</f>
        <v>910.62</v>
      </c>
      <c r="CZ30">
        <f>AE30</f>
        <v>910.62</v>
      </c>
      <c r="DA30">
        <f>AI30</f>
        <v>1</v>
      </c>
      <c r="DB30">
        <f>ROUND((ROUND(AT30*CZ30,2)*0),2)</f>
        <v>0</v>
      </c>
      <c r="DC30">
        <f>ROUND((ROUND(AT30*AG30,2)*0),2)</f>
        <v>0</v>
      </c>
    </row>
    <row r="31" spans="1:107" ht="12.75">
      <c r="A31">
        <f>ROW(Source!A75)</f>
        <v>75</v>
      </c>
      <c r="B31">
        <v>51669678</v>
      </c>
      <c r="C31">
        <v>51670085</v>
      </c>
      <c r="D31">
        <v>202553115</v>
      </c>
      <c r="E31">
        <v>1</v>
      </c>
      <c r="F31">
        <v>1</v>
      </c>
      <c r="G31">
        <v>1</v>
      </c>
      <c r="H31">
        <v>1</v>
      </c>
      <c r="I31" t="s">
        <v>517</v>
      </c>
      <c r="K31" t="s">
        <v>518</v>
      </c>
      <c r="L31">
        <v>1369</v>
      </c>
      <c r="N31">
        <v>1013</v>
      </c>
      <c r="O31" t="s">
        <v>462</v>
      </c>
      <c r="P31" t="s">
        <v>462</v>
      </c>
      <c r="Q31">
        <v>1</v>
      </c>
      <c r="W31">
        <v>0</v>
      </c>
      <c r="X31">
        <v>-2023593911</v>
      </c>
      <c r="Y31">
        <v>7.7625</v>
      </c>
      <c r="AA31">
        <v>0</v>
      </c>
      <c r="AB31">
        <v>0</v>
      </c>
      <c r="AC31">
        <v>0</v>
      </c>
      <c r="AD31">
        <v>15.76</v>
      </c>
      <c r="AE31">
        <v>0</v>
      </c>
      <c r="AF31">
        <v>0</v>
      </c>
      <c r="AG31">
        <v>0</v>
      </c>
      <c r="AH31">
        <v>15.76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5.4</v>
      </c>
      <c r="AU31" t="s">
        <v>519</v>
      </c>
      <c r="AV31">
        <v>1</v>
      </c>
      <c r="AW31">
        <v>2</v>
      </c>
      <c r="AX31">
        <v>51670093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Y31*Source!I75</f>
        <v>1.5525000000000002</v>
      </c>
      <c r="CY31">
        <f>AD31</f>
        <v>15.76</v>
      </c>
      <c r="CZ31">
        <f>AH31</f>
        <v>15.76</v>
      </c>
      <c r="DA31">
        <f>AL31</f>
        <v>1</v>
      </c>
      <c r="DB31">
        <f>ROUND(((ROUND(AT31*CZ31,2)*1.15)*1.25),2)</f>
        <v>122.33</v>
      </c>
      <c r="DC31">
        <f>ROUND(((ROUND(AT31*AG31,2)*1.15)*1.25),2)</f>
        <v>0</v>
      </c>
    </row>
    <row r="32" spans="1:107" ht="12.75">
      <c r="A32">
        <f>ROW(Source!A75)</f>
        <v>75</v>
      </c>
      <c r="B32">
        <v>51669678</v>
      </c>
      <c r="C32">
        <v>51670085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26</v>
      </c>
      <c r="K32" t="s">
        <v>469</v>
      </c>
      <c r="L32">
        <v>608254</v>
      </c>
      <c r="N32">
        <v>1013</v>
      </c>
      <c r="O32" t="s">
        <v>470</v>
      </c>
      <c r="P32" t="s">
        <v>470</v>
      </c>
      <c r="Q32">
        <v>1</v>
      </c>
      <c r="W32">
        <v>0</v>
      </c>
      <c r="X32">
        <v>-185737400</v>
      </c>
      <c r="Y32">
        <v>0.625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0.4</v>
      </c>
      <c r="AU32" t="s">
        <v>520</v>
      </c>
      <c r="AV32">
        <v>2</v>
      </c>
      <c r="AW32">
        <v>2</v>
      </c>
      <c r="AX32">
        <v>51670094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Y32*Source!I75</f>
        <v>0.125</v>
      </c>
      <c r="CY32">
        <f>AD32</f>
        <v>0</v>
      </c>
      <c r="CZ32">
        <f>AH32</f>
        <v>0</v>
      </c>
      <c r="DA32">
        <f>AL32</f>
        <v>1</v>
      </c>
      <c r="DB32">
        <f>ROUND(((ROUND(AT32*CZ32,2)*1.25)*1.25),2)</f>
        <v>0</v>
      </c>
      <c r="DC32">
        <f>ROUND(((ROUND(AT32*AG32,2)*1.25)*1.25),2)</f>
        <v>0</v>
      </c>
    </row>
    <row r="33" spans="1:107" ht="12.75">
      <c r="A33">
        <f>ROW(Source!A75)</f>
        <v>75</v>
      </c>
      <c r="B33">
        <v>51669678</v>
      </c>
      <c r="C33">
        <v>51670085</v>
      </c>
      <c r="D33">
        <v>270771356</v>
      </c>
      <c r="E33">
        <v>1</v>
      </c>
      <c r="F33">
        <v>1</v>
      </c>
      <c r="G33">
        <v>1</v>
      </c>
      <c r="H33">
        <v>2</v>
      </c>
      <c r="I33" t="s">
        <v>471</v>
      </c>
      <c r="J33" t="s">
        <v>472</v>
      </c>
      <c r="K33" t="s">
        <v>473</v>
      </c>
      <c r="L33">
        <v>1368</v>
      </c>
      <c r="N33">
        <v>1011</v>
      </c>
      <c r="O33" t="s">
        <v>466</v>
      </c>
      <c r="P33" t="s">
        <v>466</v>
      </c>
      <c r="Q33">
        <v>1</v>
      </c>
      <c r="W33">
        <v>0</v>
      </c>
      <c r="X33">
        <v>-435889032</v>
      </c>
      <c r="Y33">
        <v>0.625</v>
      </c>
      <c r="AA33">
        <v>0</v>
      </c>
      <c r="AB33">
        <v>98.9</v>
      </c>
      <c r="AC33">
        <v>24.53</v>
      </c>
      <c r="AD33">
        <v>0</v>
      </c>
      <c r="AE33">
        <v>0</v>
      </c>
      <c r="AF33">
        <v>98.9</v>
      </c>
      <c r="AG33">
        <v>24.53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0.4</v>
      </c>
      <c r="AU33" t="s">
        <v>139</v>
      </c>
      <c r="AV33">
        <v>0</v>
      </c>
      <c r="AW33">
        <v>2</v>
      </c>
      <c r="AX33">
        <v>51670095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Y33*Source!I75</f>
        <v>0.125</v>
      </c>
      <c r="CY33">
        <f>AB33</f>
        <v>98.9</v>
      </c>
      <c r="CZ33">
        <f>AF33</f>
        <v>98.9</v>
      </c>
      <c r="DA33">
        <f>AJ33</f>
        <v>1</v>
      </c>
      <c r="DB33">
        <f>ROUND(((ROUND(AT33*CZ33,2)*1.25)*1.25),2)</f>
        <v>61.81</v>
      </c>
      <c r="DC33">
        <f>ROUND(((ROUND(AT33*AG33,2)*1.25)*1.25),2)</f>
        <v>15.33</v>
      </c>
    </row>
    <row r="34" spans="1:107" ht="12.75">
      <c r="A34">
        <f>ROW(Source!A75)</f>
        <v>75</v>
      </c>
      <c r="B34">
        <v>51669678</v>
      </c>
      <c r="C34">
        <v>51670085</v>
      </c>
      <c r="D34">
        <v>270725087</v>
      </c>
      <c r="E34">
        <v>1</v>
      </c>
      <c r="F34">
        <v>1</v>
      </c>
      <c r="G34">
        <v>1</v>
      </c>
      <c r="H34">
        <v>3</v>
      </c>
      <c r="I34" t="s">
        <v>521</v>
      </c>
      <c r="J34" t="s">
        <v>522</v>
      </c>
      <c r="K34" t="s">
        <v>523</v>
      </c>
      <c r="L34">
        <v>1339</v>
      </c>
      <c r="N34">
        <v>1007</v>
      </c>
      <c r="O34" t="s">
        <v>149</v>
      </c>
      <c r="P34" t="s">
        <v>149</v>
      </c>
      <c r="Q34">
        <v>1</v>
      </c>
      <c r="W34">
        <v>0</v>
      </c>
      <c r="X34">
        <v>1459983672</v>
      </c>
      <c r="Y34">
        <v>0.0005</v>
      </c>
      <c r="AA34">
        <v>1216.2</v>
      </c>
      <c r="AB34">
        <v>0</v>
      </c>
      <c r="AC34">
        <v>0</v>
      </c>
      <c r="AD34">
        <v>0</v>
      </c>
      <c r="AE34">
        <v>1216.2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0.0005</v>
      </c>
      <c r="AV34">
        <v>0</v>
      </c>
      <c r="AW34">
        <v>2</v>
      </c>
      <c r="AX34">
        <v>51670096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Y34*Source!I75</f>
        <v>0.0001</v>
      </c>
      <c r="CY34">
        <f>AA34</f>
        <v>1216.2</v>
      </c>
      <c r="CZ34">
        <f>AE34</f>
        <v>1216.2</v>
      </c>
      <c r="DA34">
        <f>AI34</f>
        <v>1</v>
      </c>
      <c r="DB34">
        <f>ROUND(ROUND(AT34*CZ34,2),2)</f>
        <v>0.61</v>
      </c>
      <c r="DC34">
        <f>ROUND(ROUND(AT34*AG34,2),2)</f>
        <v>0</v>
      </c>
    </row>
    <row r="35" spans="1:107" ht="12.75">
      <c r="A35">
        <f>ROW(Source!A75)</f>
        <v>75</v>
      </c>
      <c r="B35">
        <v>51669678</v>
      </c>
      <c r="C35">
        <v>51670085</v>
      </c>
      <c r="D35">
        <v>270696396</v>
      </c>
      <c r="E35">
        <v>1</v>
      </c>
      <c r="F35">
        <v>1</v>
      </c>
      <c r="G35">
        <v>1</v>
      </c>
      <c r="H35">
        <v>3</v>
      </c>
      <c r="I35" t="s">
        <v>524</v>
      </c>
      <c r="J35" t="s">
        <v>525</v>
      </c>
      <c r="K35" t="s">
        <v>526</v>
      </c>
      <c r="L35">
        <v>1339</v>
      </c>
      <c r="N35">
        <v>1007</v>
      </c>
      <c r="O35" t="s">
        <v>149</v>
      </c>
      <c r="P35" t="s">
        <v>149</v>
      </c>
      <c r="Q35">
        <v>1</v>
      </c>
      <c r="W35">
        <v>0</v>
      </c>
      <c r="X35">
        <v>-779440094</v>
      </c>
      <c r="Y35">
        <v>0.24</v>
      </c>
      <c r="AA35">
        <v>479.2</v>
      </c>
      <c r="AB35">
        <v>0</v>
      </c>
      <c r="AC35">
        <v>0</v>
      </c>
      <c r="AD35">
        <v>0</v>
      </c>
      <c r="AE35">
        <v>479.2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0.24</v>
      </c>
      <c r="AV35">
        <v>0</v>
      </c>
      <c r="AW35">
        <v>2</v>
      </c>
      <c r="AX35">
        <v>51670097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Y35*Source!I75</f>
        <v>0.048</v>
      </c>
      <c r="CY35">
        <f>AA35</f>
        <v>479.2</v>
      </c>
      <c r="CZ35">
        <f>AE35</f>
        <v>479.2</v>
      </c>
      <c r="DA35">
        <f>AI35</f>
        <v>1</v>
      </c>
      <c r="DB35">
        <f>ROUND(ROUND(AT35*CZ35,2),2)</f>
        <v>115.01</v>
      </c>
      <c r="DC35">
        <f>ROUND(ROUND(AT35*AG35,2),2)</f>
        <v>0</v>
      </c>
    </row>
    <row r="36" spans="1:107" ht="12.75">
      <c r="A36">
        <f>ROW(Source!A75)</f>
        <v>75</v>
      </c>
      <c r="B36">
        <v>51669678</v>
      </c>
      <c r="C36">
        <v>51670085</v>
      </c>
      <c r="D36">
        <v>270704794</v>
      </c>
      <c r="E36">
        <v>1</v>
      </c>
      <c r="F36">
        <v>1</v>
      </c>
      <c r="G36">
        <v>1</v>
      </c>
      <c r="H36">
        <v>3</v>
      </c>
      <c r="I36" t="s">
        <v>527</v>
      </c>
      <c r="J36" t="s">
        <v>528</v>
      </c>
      <c r="K36" t="s">
        <v>529</v>
      </c>
      <c r="L36">
        <v>1356</v>
      </c>
      <c r="N36">
        <v>1010</v>
      </c>
      <c r="O36" t="s">
        <v>530</v>
      </c>
      <c r="P36" t="s">
        <v>530</v>
      </c>
      <c r="Q36">
        <v>1000</v>
      </c>
      <c r="W36">
        <v>0</v>
      </c>
      <c r="X36">
        <v>-471118805</v>
      </c>
      <c r="Y36">
        <v>0.394</v>
      </c>
      <c r="AA36">
        <v>2122.9</v>
      </c>
      <c r="AB36">
        <v>0</v>
      </c>
      <c r="AC36">
        <v>0</v>
      </c>
      <c r="AD36">
        <v>0</v>
      </c>
      <c r="AE36">
        <v>2122.9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0.394</v>
      </c>
      <c r="AV36">
        <v>0</v>
      </c>
      <c r="AW36">
        <v>2</v>
      </c>
      <c r="AX36">
        <v>51670098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Y36*Source!I75</f>
        <v>0.07880000000000001</v>
      </c>
      <c r="CY36">
        <f>AA36</f>
        <v>2122.9</v>
      </c>
      <c r="CZ36">
        <f>AE36</f>
        <v>2122.9</v>
      </c>
      <c r="DA36">
        <f>AI36</f>
        <v>1</v>
      </c>
      <c r="DB36">
        <f>ROUND(ROUND(AT36*CZ36,2),2)</f>
        <v>836.42</v>
      </c>
      <c r="DC36">
        <f>ROUND(ROUND(AT36*AG36,2),2)</f>
        <v>0</v>
      </c>
    </row>
    <row r="37" spans="1:107" ht="12.75">
      <c r="A37">
        <f>ROW(Source!A75)</f>
        <v>75</v>
      </c>
      <c r="B37">
        <v>51669678</v>
      </c>
      <c r="C37">
        <v>51670085</v>
      </c>
      <c r="D37">
        <v>270705963</v>
      </c>
      <c r="E37">
        <v>1</v>
      </c>
      <c r="F37">
        <v>1</v>
      </c>
      <c r="G37">
        <v>1</v>
      </c>
      <c r="H37">
        <v>3</v>
      </c>
      <c r="I37" t="s">
        <v>503</v>
      </c>
      <c r="J37" t="s">
        <v>504</v>
      </c>
      <c r="K37" t="s">
        <v>505</v>
      </c>
      <c r="L37">
        <v>1339</v>
      </c>
      <c r="N37">
        <v>1007</v>
      </c>
      <c r="O37" t="s">
        <v>149</v>
      </c>
      <c r="P37" t="s">
        <v>149</v>
      </c>
      <c r="Q37">
        <v>1</v>
      </c>
      <c r="W37">
        <v>0</v>
      </c>
      <c r="X37">
        <v>-1544397134</v>
      </c>
      <c r="Y37">
        <v>0.44</v>
      </c>
      <c r="AA37">
        <v>2.16</v>
      </c>
      <c r="AB37">
        <v>0</v>
      </c>
      <c r="AC37">
        <v>0</v>
      </c>
      <c r="AD37">
        <v>0</v>
      </c>
      <c r="AE37">
        <v>2.16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0.44</v>
      </c>
      <c r="AV37">
        <v>0</v>
      </c>
      <c r="AW37">
        <v>2</v>
      </c>
      <c r="AX37">
        <v>51670099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Y37*Source!I75</f>
        <v>0.08800000000000001</v>
      </c>
      <c r="CY37">
        <f>AA37</f>
        <v>2.16</v>
      </c>
      <c r="CZ37">
        <f>AE37</f>
        <v>2.16</v>
      </c>
      <c r="DA37">
        <f>AI37</f>
        <v>1</v>
      </c>
      <c r="DB37">
        <f>ROUND(ROUND(AT37*CZ37,2),2)</f>
        <v>0.95</v>
      </c>
      <c r="DC37">
        <f>ROUND(ROUND(AT37*AG37,2),2)</f>
        <v>0</v>
      </c>
    </row>
    <row r="38" spans="1:107" ht="12.75">
      <c r="A38">
        <f>ROW(Source!A76)</f>
        <v>76</v>
      </c>
      <c r="B38">
        <v>51669678</v>
      </c>
      <c r="C38">
        <v>51670100</v>
      </c>
      <c r="D38">
        <v>202548993</v>
      </c>
      <c r="E38">
        <v>1</v>
      </c>
      <c r="F38">
        <v>1</v>
      </c>
      <c r="G38">
        <v>1</v>
      </c>
      <c r="H38">
        <v>1</v>
      </c>
      <c r="I38" t="s">
        <v>474</v>
      </c>
      <c r="K38" t="s">
        <v>475</v>
      </c>
      <c r="L38">
        <v>1369</v>
      </c>
      <c r="N38">
        <v>1013</v>
      </c>
      <c r="O38" t="s">
        <v>462</v>
      </c>
      <c r="P38" t="s">
        <v>462</v>
      </c>
      <c r="Q38">
        <v>1</v>
      </c>
      <c r="W38">
        <v>0</v>
      </c>
      <c r="X38">
        <v>888074361</v>
      </c>
      <c r="Y38">
        <v>18.48625</v>
      </c>
      <c r="AA38">
        <v>0</v>
      </c>
      <c r="AB38">
        <v>0</v>
      </c>
      <c r="AC38">
        <v>0</v>
      </c>
      <c r="AD38">
        <v>16.17</v>
      </c>
      <c r="AE38">
        <v>0</v>
      </c>
      <c r="AF38">
        <v>0</v>
      </c>
      <c r="AG38">
        <v>0</v>
      </c>
      <c r="AH38">
        <v>16.17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12.86</v>
      </c>
      <c r="AU38" t="s">
        <v>519</v>
      </c>
      <c r="AV38">
        <v>1</v>
      </c>
      <c r="AW38">
        <v>2</v>
      </c>
      <c r="AX38">
        <v>51670110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Y38*Source!I76</f>
        <v>362.3305</v>
      </c>
      <c r="CY38">
        <f>AD38</f>
        <v>16.17</v>
      </c>
      <c r="CZ38">
        <f>AH38</f>
        <v>16.17</v>
      </c>
      <c r="DA38">
        <f>AL38</f>
        <v>1</v>
      </c>
      <c r="DB38">
        <f>ROUND(((ROUND(AT38*CZ38,2)*1.15)*1.25),2)</f>
        <v>298.93</v>
      </c>
      <c r="DC38">
        <f>ROUND(((ROUND(AT38*AG38,2)*1.15)*1.25),2)</f>
        <v>0</v>
      </c>
    </row>
    <row r="39" spans="1:107" ht="12.75">
      <c r="A39">
        <f>ROW(Source!A76)</f>
        <v>76</v>
      </c>
      <c r="B39">
        <v>51669678</v>
      </c>
      <c r="C39">
        <v>51670100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26</v>
      </c>
      <c r="K39" t="s">
        <v>469</v>
      </c>
      <c r="L39">
        <v>608254</v>
      </c>
      <c r="N39">
        <v>1013</v>
      </c>
      <c r="O39" t="s">
        <v>470</v>
      </c>
      <c r="P39" t="s">
        <v>470</v>
      </c>
      <c r="Q39">
        <v>1</v>
      </c>
      <c r="W39">
        <v>0</v>
      </c>
      <c r="X39">
        <v>-185737400</v>
      </c>
      <c r="Y39">
        <v>0.234375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0.15</v>
      </c>
      <c r="AU39" t="s">
        <v>520</v>
      </c>
      <c r="AV39">
        <v>2</v>
      </c>
      <c r="AW39">
        <v>2</v>
      </c>
      <c r="AX39">
        <v>51670111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Y39*Source!I76</f>
        <v>4.59375</v>
      </c>
      <c r="CY39">
        <f>AD39</f>
        <v>0</v>
      </c>
      <c r="CZ39">
        <f>AH39</f>
        <v>0</v>
      </c>
      <c r="DA39">
        <f>AL39</f>
        <v>1</v>
      </c>
      <c r="DB39">
        <f>ROUND(((ROUND(AT39*CZ39,2)*1.25)*1.25),2)</f>
        <v>0</v>
      </c>
      <c r="DC39">
        <f>ROUND(((ROUND(AT39*AG39,2)*1.25)*1.25),2)</f>
        <v>0</v>
      </c>
    </row>
    <row r="40" spans="1:107" ht="12.75">
      <c r="A40">
        <f>ROW(Source!A76)</f>
        <v>76</v>
      </c>
      <c r="B40">
        <v>51669678</v>
      </c>
      <c r="C40">
        <v>51670100</v>
      </c>
      <c r="D40">
        <v>270771467</v>
      </c>
      <c r="E40">
        <v>1</v>
      </c>
      <c r="F40">
        <v>1</v>
      </c>
      <c r="G40">
        <v>1</v>
      </c>
      <c r="H40">
        <v>2</v>
      </c>
      <c r="I40" t="s">
        <v>476</v>
      </c>
      <c r="J40" t="s">
        <v>477</v>
      </c>
      <c r="K40" t="s">
        <v>478</v>
      </c>
      <c r="L40">
        <v>1368</v>
      </c>
      <c r="N40">
        <v>1011</v>
      </c>
      <c r="O40" t="s">
        <v>466</v>
      </c>
      <c r="P40" t="s">
        <v>466</v>
      </c>
      <c r="Q40">
        <v>1</v>
      </c>
      <c r="W40">
        <v>0</v>
      </c>
      <c r="X40">
        <v>1617131323</v>
      </c>
      <c r="Y40">
        <v>0.234375</v>
      </c>
      <c r="AA40">
        <v>0</v>
      </c>
      <c r="AB40">
        <v>125.73</v>
      </c>
      <c r="AC40">
        <v>24.53</v>
      </c>
      <c r="AD40">
        <v>0</v>
      </c>
      <c r="AE40">
        <v>0</v>
      </c>
      <c r="AF40">
        <v>125.73</v>
      </c>
      <c r="AG40">
        <v>24.53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0.15</v>
      </c>
      <c r="AU40" t="s">
        <v>139</v>
      </c>
      <c r="AV40">
        <v>0</v>
      </c>
      <c r="AW40">
        <v>2</v>
      </c>
      <c r="AX40">
        <v>51670112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Y40*Source!I76</f>
        <v>4.59375</v>
      </c>
      <c r="CY40">
        <f>AB40</f>
        <v>125.73</v>
      </c>
      <c r="CZ40">
        <f>AF40</f>
        <v>125.73</v>
      </c>
      <c r="DA40">
        <f>AJ40</f>
        <v>1</v>
      </c>
      <c r="DB40">
        <f>ROUND(((ROUND(AT40*CZ40,2)*1.25)*1.25),2)</f>
        <v>29.47</v>
      </c>
      <c r="DC40">
        <f>ROUND(((ROUND(AT40*AG40,2)*1.25)*1.25),2)</f>
        <v>5.75</v>
      </c>
    </row>
    <row r="41" spans="1:107" ht="12.75">
      <c r="A41">
        <f>ROW(Source!A76)</f>
        <v>76</v>
      </c>
      <c r="B41">
        <v>51669678</v>
      </c>
      <c r="C41">
        <v>51670100</v>
      </c>
      <c r="D41">
        <v>270774071</v>
      </c>
      <c r="E41">
        <v>1</v>
      </c>
      <c r="F41">
        <v>1</v>
      </c>
      <c r="G41">
        <v>1</v>
      </c>
      <c r="H41">
        <v>2</v>
      </c>
      <c r="I41" t="s">
        <v>479</v>
      </c>
      <c r="J41" t="s">
        <v>480</v>
      </c>
      <c r="K41" t="s">
        <v>481</v>
      </c>
      <c r="L41">
        <v>1368</v>
      </c>
      <c r="N41">
        <v>1011</v>
      </c>
      <c r="O41" t="s">
        <v>466</v>
      </c>
      <c r="P41" t="s">
        <v>466</v>
      </c>
      <c r="Q41">
        <v>1</v>
      </c>
      <c r="W41">
        <v>0</v>
      </c>
      <c r="X41">
        <v>1109194647</v>
      </c>
      <c r="Y41">
        <v>0.34375</v>
      </c>
      <c r="AA41">
        <v>0</v>
      </c>
      <c r="AB41">
        <v>119.95</v>
      </c>
      <c r="AC41">
        <v>20.99</v>
      </c>
      <c r="AD41">
        <v>0</v>
      </c>
      <c r="AE41">
        <v>0</v>
      </c>
      <c r="AF41">
        <v>119.95</v>
      </c>
      <c r="AG41">
        <v>20.99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0.22</v>
      </c>
      <c r="AU41" t="s">
        <v>139</v>
      </c>
      <c r="AV41">
        <v>0</v>
      </c>
      <c r="AW41">
        <v>2</v>
      </c>
      <c r="AX41">
        <v>51670113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Y41*Source!I76</f>
        <v>6.737500000000001</v>
      </c>
      <c r="CY41">
        <f>AB41</f>
        <v>119.95</v>
      </c>
      <c r="CZ41">
        <f>AF41</f>
        <v>119.95</v>
      </c>
      <c r="DA41">
        <f>AJ41</f>
        <v>1</v>
      </c>
      <c r="DB41">
        <f>ROUND(((ROUND(AT41*CZ41,2)*1.25)*1.25),2)</f>
        <v>41.23</v>
      </c>
      <c r="DC41">
        <f>ROUND(((ROUND(AT41*AG41,2)*1.25)*1.25),2)</f>
        <v>7.22</v>
      </c>
    </row>
    <row r="42" spans="1:107" ht="12.75">
      <c r="A42">
        <f>ROW(Source!A76)</f>
        <v>76</v>
      </c>
      <c r="B42">
        <v>51669678</v>
      </c>
      <c r="C42">
        <v>51670100</v>
      </c>
      <c r="D42">
        <v>270723256</v>
      </c>
      <c r="E42">
        <v>1</v>
      </c>
      <c r="F42">
        <v>1</v>
      </c>
      <c r="G42">
        <v>1</v>
      </c>
      <c r="H42">
        <v>3</v>
      </c>
      <c r="I42" t="s">
        <v>482</v>
      </c>
      <c r="J42" t="s">
        <v>483</v>
      </c>
      <c r="K42" t="s">
        <v>484</v>
      </c>
      <c r="L42">
        <v>1348</v>
      </c>
      <c r="N42">
        <v>1009</v>
      </c>
      <c r="O42" t="s">
        <v>37</v>
      </c>
      <c r="P42" t="s">
        <v>37</v>
      </c>
      <c r="Q42">
        <v>1000</v>
      </c>
      <c r="W42">
        <v>0</v>
      </c>
      <c r="X42">
        <v>1228131796</v>
      </c>
      <c r="Y42">
        <v>0.00438</v>
      </c>
      <c r="AA42">
        <v>2964.62</v>
      </c>
      <c r="AB42">
        <v>0</v>
      </c>
      <c r="AC42">
        <v>0</v>
      </c>
      <c r="AD42">
        <v>0</v>
      </c>
      <c r="AE42">
        <v>2964.62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0.00438</v>
      </c>
      <c r="AV42">
        <v>0</v>
      </c>
      <c r="AW42">
        <v>2</v>
      </c>
      <c r="AX42">
        <v>51670114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Y42*Source!I76</f>
        <v>0.08584800000000001</v>
      </c>
      <c r="CY42">
        <f>AA42</f>
        <v>2964.62</v>
      </c>
      <c r="CZ42">
        <f>AE42</f>
        <v>2964.62</v>
      </c>
      <c r="DA42">
        <f>AI42</f>
        <v>1</v>
      </c>
      <c r="DB42">
        <f>ROUND(ROUND(AT42*CZ42,2),2)</f>
        <v>12.99</v>
      </c>
      <c r="DC42">
        <f>ROUND(ROUND(AT42*AG42,2),2)</f>
        <v>0</v>
      </c>
    </row>
    <row r="43" spans="1:107" ht="12.75">
      <c r="A43">
        <f>ROW(Source!A76)</f>
        <v>76</v>
      </c>
      <c r="B43">
        <v>51669678</v>
      </c>
      <c r="C43">
        <v>51670100</v>
      </c>
      <c r="D43">
        <v>270718009</v>
      </c>
      <c r="E43">
        <v>1</v>
      </c>
      <c r="F43">
        <v>1</v>
      </c>
      <c r="G43">
        <v>1</v>
      </c>
      <c r="H43">
        <v>3</v>
      </c>
      <c r="I43" t="s">
        <v>485</v>
      </c>
      <c r="J43" t="s">
        <v>486</v>
      </c>
      <c r="K43" t="s">
        <v>487</v>
      </c>
      <c r="L43">
        <v>36015243</v>
      </c>
      <c r="N43">
        <v>1005</v>
      </c>
      <c r="O43" t="s">
        <v>182</v>
      </c>
      <c r="P43" t="s">
        <v>184</v>
      </c>
      <c r="Q43">
        <v>1</v>
      </c>
      <c r="W43">
        <v>0</v>
      </c>
      <c r="X43">
        <v>1449983063</v>
      </c>
      <c r="Y43">
        <v>3.38</v>
      </c>
      <c r="AA43">
        <v>4.6</v>
      </c>
      <c r="AB43">
        <v>0</v>
      </c>
      <c r="AC43">
        <v>0</v>
      </c>
      <c r="AD43">
        <v>0</v>
      </c>
      <c r="AE43">
        <v>4.6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3.38</v>
      </c>
      <c r="AV43">
        <v>0</v>
      </c>
      <c r="AW43">
        <v>2</v>
      </c>
      <c r="AX43">
        <v>51670115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Y43*Source!I76</f>
        <v>66.248</v>
      </c>
      <c r="CY43">
        <f>AA43</f>
        <v>4.6</v>
      </c>
      <c r="CZ43">
        <f>AE43</f>
        <v>4.6</v>
      </c>
      <c r="DA43">
        <f>AI43</f>
        <v>1</v>
      </c>
      <c r="DB43">
        <f>ROUND(ROUND(AT43*CZ43,2),2)</f>
        <v>15.55</v>
      </c>
      <c r="DC43">
        <f>ROUND(ROUND(AT43*AG43,2),2)</f>
        <v>0</v>
      </c>
    </row>
    <row r="44" spans="1:107" ht="12.75">
      <c r="A44">
        <f>ROW(Source!A76)</f>
        <v>76</v>
      </c>
      <c r="B44">
        <v>51669678</v>
      </c>
      <c r="C44">
        <v>51670100</v>
      </c>
      <c r="D44">
        <v>270723982</v>
      </c>
      <c r="E44">
        <v>1</v>
      </c>
      <c r="F44">
        <v>1</v>
      </c>
      <c r="G44">
        <v>1</v>
      </c>
      <c r="H44">
        <v>3</v>
      </c>
      <c r="I44" t="s">
        <v>488</v>
      </c>
      <c r="J44" t="s">
        <v>489</v>
      </c>
      <c r="K44" t="s">
        <v>490</v>
      </c>
      <c r="L44">
        <v>1348</v>
      </c>
      <c r="N44">
        <v>1009</v>
      </c>
      <c r="O44" t="s">
        <v>37</v>
      </c>
      <c r="P44" t="s">
        <v>37</v>
      </c>
      <c r="Q44">
        <v>1000</v>
      </c>
      <c r="W44">
        <v>0</v>
      </c>
      <c r="X44">
        <v>-806456486</v>
      </c>
      <c r="Y44">
        <v>0.0072</v>
      </c>
      <c r="AA44">
        <v>10672.41</v>
      </c>
      <c r="AB44">
        <v>0</v>
      </c>
      <c r="AC44">
        <v>0</v>
      </c>
      <c r="AD44">
        <v>0</v>
      </c>
      <c r="AE44">
        <v>10672.41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0.0072</v>
      </c>
      <c r="AV44">
        <v>0</v>
      </c>
      <c r="AW44">
        <v>2</v>
      </c>
      <c r="AX44">
        <v>51670116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Y44*Source!I76</f>
        <v>0.14112</v>
      </c>
      <c r="CY44">
        <f>AA44</f>
        <v>10672.41</v>
      </c>
      <c r="CZ44">
        <f>AE44</f>
        <v>10672.41</v>
      </c>
      <c r="DA44">
        <f>AI44</f>
        <v>1</v>
      </c>
      <c r="DB44">
        <f>ROUND(ROUND(AT44*CZ44,2),2)</f>
        <v>76.84</v>
      </c>
      <c r="DC44">
        <f>ROUND(ROUND(AT44*AG44,2),2)</f>
        <v>0</v>
      </c>
    </row>
    <row r="45" spans="1:107" ht="12.75">
      <c r="A45">
        <f>ROW(Source!A76)</f>
        <v>76</v>
      </c>
      <c r="B45">
        <v>51669678</v>
      </c>
      <c r="C45">
        <v>51670100</v>
      </c>
      <c r="D45">
        <v>270725084</v>
      </c>
      <c r="E45">
        <v>1</v>
      </c>
      <c r="F45">
        <v>1</v>
      </c>
      <c r="G45">
        <v>1</v>
      </c>
      <c r="H45">
        <v>3</v>
      </c>
      <c r="I45" t="s">
        <v>147</v>
      </c>
      <c r="J45" t="s">
        <v>150</v>
      </c>
      <c r="K45" t="s">
        <v>148</v>
      </c>
      <c r="L45">
        <v>1339</v>
      </c>
      <c r="N45">
        <v>1007</v>
      </c>
      <c r="O45" t="s">
        <v>149</v>
      </c>
      <c r="P45" t="s">
        <v>149</v>
      </c>
      <c r="Q45">
        <v>1</v>
      </c>
      <c r="W45">
        <v>0</v>
      </c>
      <c r="X45">
        <v>-324964049</v>
      </c>
      <c r="Y45">
        <v>1</v>
      </c>
      <c r="AA45">
        <v>12343.63</v>
      </c>
      <c r="AB45">
        <v>0</v>
      </c>
      <c r="AC45">
        <v>0</v>
      </c>
      <c r="AD45">
        <v>0</v>
      </c>
      <c r="AE45">
        <v>2593.2</v>
      </c>
      <c r="AF45">
        <v>0</v>
      </c>
      <c r="AG45">
        <v>0</v>
      </c>
      <c r="AH45">
        <v>0</v>
      </c>
      <c r="AI45">
        <v>4.76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1</v>
      </c>
      <c r="AV45">
        <v>0</v>
      </c>
      <c r="AW45">
        <v>1</v>
      </c>
      <c r="AX45">
        <v>-1</v>
      </c>
      <c r="AY45">
        <v>0</v>
      </c>
      <c r="AZ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Y45*Source!I76</f>
        <v>19.6</v>
      </c>
      <c r="CY45">
        <f>AA45</f>
        <v>12343.63</v>
      </c>
      <c r="CZ45">
        <f>AE45</f>
        <v>2593.2</v>
      </c>
      <c r="DA45">
        <f>AI45</f>
        <v>4.76</v>
      </c>
      <c r="DB45">
        <f>ROUND(ROUND(AT45*CZ45,2),2)</f>
        <v>2593.2</v>
      </c>
      <c r="DC45">
        <f>ROUND(ROUND(AT45*AG45,2),2)</f>
        <v>0</v>
      </c>
    </row>
    <row r="46" spans="1:107" ht="12.75">
      <c r="A46">
        <f>ROW(Source!A76)</f>
        <v>76</v>
      </c>
      <c r="B46">
        <v>51669678</v>
      </c>
      <c r="C46">
        <v>51670100</v>
      </c>
      <c r="D46">
        <v>270733083</v>
      </c>
      <c r="E46">
        <v>1</v>
      </c>
      <c r="F46">
        <v>1</v>
      </c>
      <c r="G46">
        <v>1</v>
      </c>
      <c r="H46">
        <v>3</v>
      </c>
      <c r="I46" t="s">
        <v>491</v>
      </c>
      <c r="J46" t="s">
        <v>492</v>
      </c>
      <c r="K46" t="s">
        <v>493</v>
      </c>
      <c r="L46">
        <v>1348</v>
      </c>
      <c r="N46">
        <v>1009</v>
      </c>
      <c r="O46" t="s">
        <v>37</v>
      </c>
      <c r="P46" t="s">
        <v>37</v>
      </c>
      <c r="Q46">
        <v>1000</v>
      </c>
      <c r="W46">
        <v>0</v>
      </c>
      <c r="X46">
        <v>-786242167</v>
      </c>
      <c r="Y46">
        <v>0.00196</v>
      </c>
      <c r="AA46">
        <v>9903.12</v>
      </c>
      <c r="AB46">
        <v>0</v>
      </c>
      <c r="AC46">
        <v>0</v>
      </c>
      <c r="AD46">
        <v>0</v>
      </c>
      <c r="AE46">
        <v>9903.12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0.00196</v>
      </c>
      <c r="AV46">
        <v>0</v>
      </c>
      <c r="AW46">
        <v>2</v>
      </c>
      <c r="AX46">
        <v>51670117</v>
      </c>
      <c r="AY46">
        <v>1</v>
      </c>
      <c r="AZ46">
        <v>0</v>
      </c>
      <c r="BA46">
        <v>45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Y46*Source!I76</f>
        <v>0.038416</v>
      </c>
      <c r="CY46">
        <f>AA46</f>
        <v>9903.12</v>
      </c>
      <c r="CZ46">
        <f>AE46</f>
        <v>9903.12</v>
      </c>
      <c r="DA46">
        <f>AI46</f>
        <v>1</v>
      </c>
      <c r="DB46">
        <f>ROUND(ROUND(AT46*CZ46,2),2)</f>
        <v>19.41</v>
      </c>
      <c r="DC46">
        <f>ROUND(ROUND(AT46*AG46,2),2)</f>
        <v>0</v>
      </c>
    </row>
    <row r="47" spans="1:107" ht="12.75">
      <c r="A47">
        <f>ROW(Source!A78)</f>
        <v>78</v>
      </c>
      <c r="B47">
        <v>51669678</v>
      </c>
      <c r="C47">
        <v>51670119</v>
      </c>
      <c r="D47">
        <v>202556993</v>
      </c>
      <c r="E47">
        <v>1</v>
      </c>
      <c r="F47">
        <v>1</v>
      </c>
      <c r="G47">
        <v>1</v>
      </c>
      <c r="H47">
        <v>1</v>
      </c>
      <c r="I47" t="s">
        <v>467</v>
      </c>
      <c r="K47" t="s">
        <v>468</v>
      </c>
      <c r="L47">
        <v>1369</v>
      </c>
      <c r="N47">
        <v>1013</v>
      </c>
      <c r="O47" t="s">
        <v>462</v>
      </c>
      <c r="P47" t="s">
        <v>462</v>
      </c>
      <c r="Q47">
        <v>1</v>
      </c>
      <c r="W47">
        <v>0</v>
      </c>
      <c r="X47">
        <v>-520529736</v>
      </c>
      <c r="Y47">
        <v>39.787499999999994</v>
      </c>
      <c r="AA47">
        <v>0</v>
      </c>
      <c r="AB47">
        <v>0</v>
      </c>
      <c r="AC47">
        <v>0</v>
      </c>
      <c r="AD47">
        <v>15.06</v>
      </c>
      <c r="AE47">
        <v>0</v>
      </c>
      <c r="AF47">
        <v>0</v>
      </c>
      <c r="AG47">
        <v>0</v>
      </c>
      <c r="AH47">
        <v>15.06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31.83</v>
      </c>
      <c r="AU47" t="s">
        <v>19</v>
      </c>
      <c r="AV47">
        <v>1</v>
      </c>
      <c r="AW47">
        <v>2</v>
      </c>
      <c r="AX47">
        <v>51670127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Y47*Source!I78</f>
        <v>278.51249999999993</v>
      </c>
      <c r="CY47">
        <f>AD47</f>
        <v>15.06</v>
      </c>
      <c r="CZ47">
        <f>AH47</f>
        <v>15.06</v>
      </c>
      <c r="DA47">
        <f>AL47</f>
        <v>1</v>
      </c>
      <c r="DB47">
        <f>ROUND((ROUND(AT47*CZ47,2)*1.25),2)</f>
        <v>599.2</v>
      </c>
      <c r="DC47">
        <f>ROUND((ROUND(AT47*AG47,2)*1.25),2)</f>
        <v>0</v>
      </c>
    </row>
    <row r="48" spans="1:107" ht="12.75">
      <c r="A48">
        <f>ROW(Source!A78)</f>
        <v>78</v>
      </c>
      <c r="B48">
        <v>51669678</v>
      </c>
      <c r="C48">
        <v>51670119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26</v>
      </c>
      <c r="K48" t="s">
        <v>469</v>
      </c>
      <c r="L48">
        <v>608254</v>
      </c>
      <c r="N48">
        <v>1013</v>
      </c>
      <c r="O48" t="s">
        <v>470</v>
      </c>
      <c r="P48" t="s">
        <v>470</v>
      </c>
      <c r="Q48">
        <v>1</v>
      </c>
      <c r="W48">
        <v>0</v>
      </c>
      <c r="X48">
        <v>-185737400</v>
      </c>
      <c r="Y48">
        <v>0.55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0.44</v>
      </c>
      <c r="AU48" t="s">
        <v>19</v>
      </c>
      <c r="AV48">
        <v>2</v>
      </c>
      <c r="AW48">
        <v>2</v>
      </c>
      <c r="AX48">
        <v>51670128</v>
      </c>
      <c r="AY48">
        <v>1</v>
      </c>
      <c r="AZ48">
        <v>0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Y48*Source!I78</f>
        <v>3.8500000000000005</v>
      </c>
      <c r="CY48">
        <f>AD48</f>
        <v>0</v>
      </c>
      <c r="CZ48">
        <f>AH48</f>
        <v>0</v>
      </c>
      <c r="DA48">
        <f>AL48</f>
        <v>1</v>
      </c>
      <c r="DB48">
        <f>ROUND((ROUND(AT48*CZ48,2)*1.25),2)</f>
        <v>0</v>
      </c>
      <c r="DC48">
        <f>ROUND((ROUND(AT48*AG48,2)*1.25),2)</f>
        <v>0</v>
      </c>
    </row>
    <row r="49" spans="1:107" ht="12.75">
      <c r="A49">
        <f>ROW(Source!A78)</f>
        <v>78</v>
      </c>
      <c r="B49">
        <v>51669678</v>
      </c>
      <c r="C49">
        <v>51670119</v>
      </c>
      <c r="D49">
        <v>270771644</v>
      </c>
      <c r="E49">
        <v>1</v>
      </c>
      <c r="F49">
        <v>1</v>
      </c>
      <c r="G49">
        <v>1</v>
      </c>
      <c r="H49">
        <v>2</v>
      </c>
      <c r="I49" t="s">
        <v>497</v>
      </c>
      <c r="J49" t="s">
        <v>498</v>
      </c>
      <c r="K49" t="s">
        <v>499</v>
      </c>
      <c r="L49">
        <v>1368</v>
      </c>
      <c r="N49">
        <v>1011</v>
      </c>
      <c r="O49" t="s">
        <v>466</v>
      </c>
      <c r="P49" t="s">
        <v>466</v>
      </c>
      <c r="Q49">
        <v>1</v>
      </c>
      <c r="W49">
        <v>0</v>
      </c>
      <c r="X49">
        <v>1104828927</v>
      </c>
      <c r="Y49">
        <v>0.55</v>
      </c>
      <c r="AA49">
        <v>0</v>
      </c>
      <c r="AB49">
        <v>41.7</v>
      </c>
      <c r="AC49">
        <v>24.53</v>
      </c>
      <c r="AD49">
        <v>0</v>
      </c>
      <c r="AE49">
        <v>0</v>
      </c>
      <c r="AF49">
        <v>41.7</v>
      </c>
      <c r="AG49">
        <v>24.53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0.44</v>
      </c>
      <c r="AU49" t="s">
        <v>19</v>
      </c>
      <c r="AV49">
        <v>0</v>
      </c>
      <c r="AW49">
        <v>2</v>
      </c>
      <c r="AX49">
        <v>51670129</v>
      </c>
      <c r="AY49">
        <v>1</v>
      </c>
      <c r="AZ49">
        <v>0</v>
      </c>
      <c r="BA49">
        <v>48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Y49*Source!I78</f>
        <v>3.8500000000000005</v>
      </c>
      <c r="CY49">
        <f>AB49</f>
        <v>41.7</v>
      </c>
      <c r="CZ49">
        <f>AF49</f>
        <v>41.7</v>
      </c>
      <c r="DA49">
        <f>AJ49</f>
        <v>1</v>
      </c>
      <c r="DB49">
        <f>ROUND((ROUND(AT49*CZ49,2)*1.25),2)</f>
        <v>22.94</v>
      </c>
      <c r="DC49">
        <f>ROUND((ROUND(AT49*AG49,2)*1.25),2)</f>
        <v>13.49</v>
      </c>
    </row>
    <row r="50" spans="1:107" ht="12.75">
      <c r="A50">
        <f>ROW(Source!A78)</f>
        <v>78</v>
      </c>
      <c r="B50">
        <v>51669678</v>
      </c>
      <c r="C50">
        <v>51670119</v>
      </c>
      <c r="D50">
        <v>270774071</v>
      </c>
      <c r="E50">
        <v>1</v>
      </c>
      <c r="F50">
        <v>1</v>
      </c>
      <c r="G50">
        <v>1</v>
      </c>
      <c r="H50">
        <v>2</v>
      </c>
      <c r="I50" t="s">
        <v>479</v>
      </c>
      <c r="J50" t="s">
        <v>480</v>
      </c>
      <c r="K50" t="s">
        <v>481</v>
      </c>
      <c r="L50">
        <v>1368</v>
      </c>
      <c r="N50">
        <v>1011</v>
      </c>
      <c r="O50" t="s">
        <v>466</v>
      </c>
      <c r="P50" t="s">
        <v>466</v>
      </c>
      <c r="Q50">
        <v>1</v>
      </c>
      <c r="W50">
        <v>0</v>
      </c>
      <c r="X50">
        <v>1109194647</v>
      </c>
      <c r="Y50">
        <v>0.3875</v>
      </c>
      <c r="AA50">
        <v>0</v>
      </c>
      <c r="AB50">
        <v>119.95</v>
      </c>
      <c r="AC50">
        <v>20.99</v>
      </c>
      <c r="AD50">
        <v>0</v>
      </c>
      <c r="AE50">
        <v>0</v>
      </c>
      <c r="AF50">
        <v>119.95</v>
      </c>
      <c r="AG50">
        <v>20.99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0.31</v>
      </c>
      <c r="AU50" t="s">
        <v>19</v>
      </c>
      <c r="AV50">
        <v>0</v>
      </c>
      <c r="AW50">
        <v>2</v>
      </c>
      <c r="AX50">
        <v>51670130</v>
      </c>
      <c r="AY50">
        <v>1</v>
      </c>
      <c r="AZ50">
        <v>0</v>
      </c>
      <c r="BA50">
        <v>49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Y50*Source!I78</f>
        <v>2.7125</v>
      </c>
      <c r="CY50">
        <f>AB50</f>
        <v>119.95</v>
      </c>
      <c r="CZ50">
        <f>AF50</f>
        <v>119.95</v>
      </c>
      <c r="DA50">
        <f>AJ50</f>
        <v>1</v>
      </c>
      <c r="DB50">
        <f>ROUND((ROUND(AT50*CZ50,2)*1.25),2)</f>
        <v>46.48</v>
      </c>
      <c r="DC50">
        <f>ROUND((ROUND(AT50*AG50,2)*1.25),2)</f>
        <v>8.14</v>
      </c>
    </row>
    <row r="51" spans="1:107" ht="12.75">
      <c r="A51">
        <f>ROW(Source!A78)</f>
        <v>78</v>
      </c>
      <c r="B51">
        <v>51669678</v>
      </c>
      <c r="C51">
        <v>51670119</v>
      </c>
      <c r="D51">
        <v>270723982</v>
      </c>
      <c r="E51">
        <v>1</v>
      </c>
      <c r="F51">
        <v>1</v>
      </c>
      <c r="G51">
        <v>1</v>
      </c>
      <c r="H51">
        <v>3</v>
      </c>
      <c r="I51" t="s">
        <v>488</v>
      </c>
      <c r="J51" t="s">
        <v>489</v>
      </c>
      <c r="K51" t="s">
        <v>490</v>
      </c>
      <c r="L51">
        <v>1348</v>
      </c>
      <c r="N51">
        <v>1009</v>
      </c>
      <c r="O51" t="s">
        <v>37</v>
      </c>
      <c r="P51" t="s">
        <v>37</v>
      </c>
      <c r="Q51">
        <v>1000</v>
      </c>
      <c r="W51">
        <v>0</v>
      </c>
      <c r="X51">
        <v>-806456486</v>
      </c>
      <c r="Y51">
        <v>0.009</v>
      </c>
      <c r="AA51">
        <v>10672.41</v>
      </c>
      <c r="AB51">
        <v>0</v>
      </c>
      <c r="AC51">
        <v>0</v>
      </c>
      <c r="AD51">
        <v>0</v>
      </c>
      <c r="AE51">
        <v>10672.41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0.009</v>
      </c>
      <c r="AV51">
        <v>0</v>
      </c>
      <c r="AW51">
        <v>2</v>
      </c>
      <c r="AX51">
        <v>51670131</v>
      </c>
      <c r="AY51">
        <v>1</v>
      </c>
      <c r="AZ51">
        <v>0</v>
      </c>
      <c r="BA51">
        <v>50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Y51*Source!I78</f>
        <v>0.063</v>
      </c>
      <c r="CY51">
        <f>AA51</f>
        <v>10672.41</v>
      </c>
      <c r="CZ51">
        <f>AE51</f>
        <v>10672.41</v>
      </c>
      <c r="DA51">
        <f>AI51</f>
        <v>1</v>
      </c>
      <c r="DB51">
        <f>ROUND(ROUND(AT51*CZ51,2),2)</f>
        <v>96.05</v>
      </c>
      <c r="DC51">
        <f>ROUND(ROUND(AT51*AG51,2),2)</f>
        <v>0</v>
      </c>
    </row>
    <row r="52" spans="1:107" ht="12.75">
      <c r="A52">
        <f>ROW(Source!A78)</f>
        <v>78</v>
      </c>
      <c r="B52">
        <v>51669678</v>
      </c>
      <c r="C52">
        <v>51670119</v>
      </c>
      <c r="D52">
        <v>270725173</v>
      </c>
      <c r="E52">
        <v>1</v>
      </c>
      <c r="F52">
        <v>1</v>
      </c>
      <c r="G52">
        <v>1</v>
      </c>
      <c r="H52">
        <v>3</v>
      </c>
      <c r="I52" t="s">
        <v>164</v>
      </c>
      <c r="J52" t="s">
        <v>166</v>
      </c>
      <c r="K52" t="s">
        <v>165</v>
      </c>
      <c r="L52">
        <v>1339</v>
      </c>
      <c r="N52">
        <v>1007</v>
      </c>
      <c r="O52" t="s">
        <v>149</v>
      </c>
      <c r="P52" t="s">
        <v>149</v>
      </c>
      <c r="Q52">
        <v>1</v>
      </c>
      <c r="W52">
        <v>1</v>
      </c>
      <c r="X52">
        <v>895507224</v>
      </c>
      <c r="Y52">
        <v>-2.64</v>
      </c>
      <c r="AA52">
        <v>7106.92</v>
      </c>
      <c r="AB52">
        <v>0</v>
      </c>
      <c r="AC52">
        <v>0</v>
      </c>
      <c r="AD52">
        <v>0</v>
      </c>
      <c r="AE52">
        <v>633.98</v>
      </c>
      <c r="AF52">
        <v>0</v>
      </c>
      <c r="AG52">
        <v>0</v>
      </c>
      <c r="AH52">
        <v>0</v>
      </c>
      <c r="AI52">
        <v>11.21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-2.64</v>
      </c>
      <c r="AV52">
        <v>0</v>
      </c>
      <c r="AW52">
        <v>2</v>
      </c>
      <c r="AX52">
        <v>51670132</v>
      </c>
      <c r="AY52">
        <v>1</v>
      </c>
      <c r="AZ52">
        <v>6144</v>
      </c>
      <c r="BA52">
        <v>51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Y52*Source!I78</f>
        <v>-18.48</v>
      </c>
      <c r="CY52">
        <f>AA52</f>
        <v>7106.92</v>
      </c>
      <c r="CZ52">
        <f>AE52</f>
        <v>633.98</v>
      </c>
      <c r="DA52">
        <f>AI52</f>
        <v>11.21</v>
      </c>
      <c r="DB52">
        <f>ROUND(ROUND(AT52*CZ52,2),2)</f>
        <v>-1673.71</v>
      </c>
      <c r="DC52">
        <f>ROUND(ROUND(AT52*AG52,2),2)</f>
        <v>0</v>
      </c>
    </row>
    <row r="53" spans="1:107" ht="12.75">
      <c r="A53">
        <f>ROW(Source!A78)</f>
        <v>78</v>
      </c>
      <c r="B53">
        <v>51669678</v>
      </c>
      <c r="C53">
        <v>51670119</v>
      </c>
      <c r="D53">
        <v>270725216</v>
      </c>
      <c r="E53">
        <v>1</v>
      </c>
      <c r="F53">
        <v>1</v>
      </c>
      <c r="G53">
        <v>1</v>
      </c>
      <c r="H53">
        <v>3</v>
      </c>
      <c r="I53" t="s">
        <v>160</v>
      </c>
      <c r="J53" t="s">
        <v>162</v>
      </c>
      <c r="K53" t="s">
        <v>161</v>
      </c>
      <c r="L53">
        <v>1339</v>
      </c>
      <c r="N53">
        <v>1007</v>
      </c>
      <c r="O53" t="s">
        <v>149</v>
      </c>
      <c r="P53" t="s">
        <v>149</v>
      </c>
      <c r="Q53">
        <v>1</v>
      </c>
      <c r="W53">
        <v>0</v>
      </c>
      <c r="X53">
        <v>397073329</v>
      </c>
      <c r="Y53">
        <v>7.368182</v>
      </c>
      <c r="AA53">
        <v>5984.67</v>
      </c>
      <c r="AB53">
        <v>0</v>
      </c>
      <c r="AC53">
        <v>0</v>
      </c>
      <c r="AD53">
        <v>0</v>
      </c>
      <c r="AE53">
        <v>1431.74</v>
      </c>
      <c r="AF53">
        <v>0</v>
      </c>
      <c r="AG53">
        <v>0</v>
      </c>
      <c r="AH53">
        <v>0</v>
      </c>
      <c r="AI53">
        <v>4.18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7.368182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Y53*Source!I78</f>
        <v>51.577274</v>
      </c>
      <c r="CY53">
        <f>AA53</f>
        <v>5984.67</v>
      </c>
      <c r="CZ53">
        <f>AE53</f>
        <v>1431.74</v>
      </c>
      <c r="DA53">
        <f>AI53</f>
        <v>4.18</v>
      </c>
      <c r="DB53">
        <f>ROUND(ROUND(AT53*CZ53,2),2)</f>
        <v>10549.32</v>
      </c>
      <c r="DC53">
        <f>ROUND(ROUND(AT53*AG53,2),2)</f>
        <v>0</v>
      </c>
    </row>
    <row r="54" spans="1:107" ht="12.75">
      <c r="A54">
        <f>ROW(Source!A81)</f>
        <v>81</v>
      </c>
      <c r="B54">
        <v>51669678</v>
      </c>
      <c r="C54">
        <v>51670135</v>
      </c>
      <c r="D54">
        <v>202549185</v>
      </c>
      <c r="E54">
        <v>1</v>
      </c>
      <c r="F54">
        <v>1</v>
      </c>
      <c r="G54">
        <v>1</v>
      </c>
      <c r="H54">
        <v>1</v>
      </c>
      <c r="I54" t="s">
        <v>531</v>
      </c>
      <c r="K54" t="s">
        <v>532</v>
      </c>
      <c r="L54">
        <v>1369</v>
      </c>
      <c r="N54">
        <v>1013</v>
      </c>
      <c r="O54" t="s">
        <v>462</v>
      </c>
      <c r="P54" t="s">
        <v>462</v>
      </c>
      <c r="Q54">
        <v>1</v>
      </c>
      <c r="W54">
        <v>0</v>
      </c>
      <c r="X54">
        <v>157492739</v>
      </c>
      <c r="Y54">
        <v>11.27</v>
      </c>
      <c r="AA54">
        <v>0</v>
      </c>
      <c r="AB54">
        <v>0</v>
      </c>
      <c r="AC54">
        <v>0</v>
      </c>
      <c r="AD54">
        <v>16.57</v>
      </c>
      <c r="AE54">
        <v>0</v>
      </c>
      <c r="AF54">
        <v>0</v>
      </c>
      <c r="AG54">
        <v>0</v>
      </c>
      <c r="AH54">
        <v>16.57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7.84</v>
      </c>
      <c r="AU54" t="s">
        <v>519</v>
      </c>
      <c r="AV54">
        <v>1</v>
      </c>
      <c r="AW54">
        <v>2</v>
      </c>
      <c r="AX54">
        <v>51670145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Y54*Source!I81</f>
        <v>85.65199999999999</v>
      </c>
      <c r="CY54">
        <f>AD54</f>
        <v>16.57</v>
      </c>
      <c r="CZ54">
        <f>AH54</f>
        <v>16.57</v>
      </c>
      <c r="DA54">
        <f>AL54</f>
        <v>1</v>
      </c>
      <c r="DB54">
        <f>ROUND(((ROUND(AT54*CZ54,2)*1.15)*1.25),2)</f>
        <v>186.75</v>
      </c>
      <c r="DC54">
        <f>ROUND(((ROUND(AT54*AG54,2)*1.15)*1.25),2)</f>
        <v>0</v>
      </c>
    </row>
    <row r="55" spans="1:107" ht="12.75">
      <c r="A55">
        <f>ROW(Source!A81)</f>
        <v>81</v>
      </c>
      <c r="B55">
        <v>51669678</v>
      </c>
      <c r="C55">
        <v>51670135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26</v>
      </c>
      <c r="K55" t="s">
        <v>469</v>
      </c>
      <c r="L55">
        <v>608254</v>
      </c>
      <c r="N55">
        <v>1013</v>
      </c>
      <c r="O55" t="s">
        <v>470</v>
      </c>
      <c r="P55" t="s">
        <v>470</v>
      </c>
      <c r="Q55">
        <v>1</v>
      </c>
      <c r="W55">
        <v>0</v>
      </c>
      <c r="X55">
        <v>-185737400</v>
      </c>
      <c r="Y55">
        <v>0.203125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0.13</v>
      </c>
      <c r="AU55" t="s">
        <v>520</v>
      </c>
      <c r="AV55">
        <v>2</v>
      </c>
      <c r="AW55">
        <v>2</v>
      </c>
      <c r="AX55">
        <v>51670146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Y55*Source!I81</f>
        <v>1.54375</v>
      </c>
      <c r="CY55">
        <f>AD55</f>
        <v>0</v>
      </c>
      <c r="CZ55">
        <f>AH55</f>
        <v>0</v>
      </c>
      <c r="DA55">
        <f>AL55</f>
        <v>1</v>
      </c>
      <c r="DB55">
        <f>ROUND(((ROUND(AT55*CZ55,2)*1.25)*1.25),2)</f>
        <v>0</v>
      </c>
      <c r="DC55">
        <f>ROUND(((ROUND(AT55*AG55,2)*1.25)*1.25),2)</f>
        <v>0</v>
      </c>
    </row>
    <row r="56" spans="1:107" ht="12.75">
      <c r="A56">
        <f>ROW(Source!A81)</f>
        <v>81</v>
      </c>
      <c r="B56">
        <v>51669678</v>
      </c>
      <c r="C56">
        <v>51670135</v>
      </c>
      <c r="D56">
        <v>270771356</v>
      </c>
      <c r="E56">
        <v>1</v>
      </c>
      <c r="F56">
        <v>1</v>
      </c>
      <c r="G56">
        <v>1</v>
      </c>
      <c r="H56">
        <v>2</v>
      </c>
      <c r="I56" t="s">
        <v>471</v>
      </c>
      <c r="J56" t="s">
        <v>472</v>
      </c>
      <c r="K56" t="s">
        <v>473</v>
      </c>
      <c r="L56">
        <v>1368</v>
      </c>
      <c r="N56">
        <v>1011</v>
      </c>
      <c r="O56" t="s">
        <v>466</v>
      </c>
      <c r="P56" t="s">
        <v>466</v>
      </c>
      <c r="Q56">
        <v>1</v>
      </c>
      <c r="W56">
        <v>0</v>
      </c>
      <c r="X56">
        <v>-435889032</v>
      </c>
      <c r="Y56">
        <v>0.125</v>
      </c>
      <c r="AA56">
        <v>0</v>
      </c>
      <c r="AB56">
        <v>98.9</v>
      </c>
      <c r="AC56">
        <v>24.53</v>
      </c>
      <c r="AD56">
        <v>0</v>
      </c>
      <c r="AE56">
        <v>0</v>
      </c>
      <c r="AF56">
        <v>98.9</v>
      </c>
      <c r="AG56">
        <v>24.53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0.08</v>
      </c>
      <c r="AU56" t="s">
        <v>139</v>
      </c>
      <c r="AV56">
        <v>0</v>
      </c>
      <c r="AW56">
        <v>2</v>
      </c>
      <c r="AX56">
        <v>51670147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Y56*Source!I81</f>
        <v>0.95</v>
      </c>
      <c r="CY56">
        <f>AB56</f>
        <v>98.9</v>
      </c>
      <c r="CZ56">
        <f>AF56</f>
        <v>98.9</v>
      </c>
      <c r="DA56">
        <f>AJ56</f>
        <v>1</v>
      </c>
      <c r="DB56">
        <f>ROUND(((ROUND(AT56*CZ56,2)*1.25)*1.25),2)</f>
        <v>12.36</v>
      </c>
      <c r="DC56">
        <f>ROUND(((ROUND(AT56*AG56,2)*1.25)*1.25),2)</f>
        <v>3.06</v>
      </c>
    </row>
    <row r="57" spans="1:107" ht="12.75">
      <c r="A57">
        <f>ROW(Source!A81)</f>
        <v>81</v>
      </c>
      <c r="B57">
        <v>51669678</v>
      </c>
      <c r="C57">
        <v>51670135</v>
      </c>
      <c r="D57">
        <v>270771467</v>
      </c>
      <c r="E57">
        <v>1</v>
      </c>
      <c r="F57">
        <v>1</v>
      </c>
      <c r="G57">
        <v>1</v>
      </c>
      <c r="H57">
        <v>2</v>
      </c>
      <c r="I57" t="s">
        <v>476</v>
      </c>
      <c r="J57" t="s">
        <v>477</v>
      </c>
      <c r="K57" t="s">
        <v>478</v>
      </c>
      <c r="L57">
        <v>1368</v>
      </c>
      <c r="N57">
        <v>1011</v>
      </c>
      <c r="O57" t="s">
        <v>466</v>
      </c>
      <c r="P57" t="s">
        <v>466</v>
      </c>
      <c r="Q57">
        <v>1</v>
      </c>
      <c r="W57">
        <v>0</v>
      </c>
      <c r="X57">
        <v>1617131323</v>
      </c>
      <c r="Y57">
        <v>0.078125</v>
      </c>
      <c r="AA57">
        <v>0</v>
      </c>
      <c r="AB57">
        <v>125.73</v>
      </c>
      <c r="AC57">
        <v>24.53</v>
      </c>
      <c r="AD57">
        <v>0</v>
      </c>
      <c r="AE57">
        <v>0</v>
      </c>
      <c r="AF57">
        <v>125.73</v>
      </c>
      <c r="AG57">
        <v>24.53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0.05</v>
      </c>
      <c r="AU57" t="s">
        <v>139</v>
      </c>
      <c r="AV57">
        <v>0</v>
      </c>
      <c r="AW57">
        <v>2</v>
      </c>
      <c r="AX57">
        <v>51670148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Y57*Source!I81</f>
        <v>0.59375</v>
      </c>
      <c r="CY57">
        <f>AB57</f>
        <v>125.73</v>
      </c>
      <c r="CZ57">
        <f>AF57</f>
        <v>125.73</v>
      </c>
      <c r="DA57">
        <f>AJ57</f>
        <v>1</v>
      </c>
      <c r="DB57">
        <f>ROUND(((ROUND(AT57*CZ57,2)*1.25)*1.25),2)</f>
        <v>9.83</v>
      </c>
      <c r="DC57">
        <f>ROUND(((ROUND(AT57*AG57,2)*1.25)*1.25),2)</f>
        <v>1.92</v>
      </c>
    </row>
    <row r="58" spans="1:107" ht="12.75">
      <c r="A58">
        <f>ROW(Source!A81)</f>
        <v>81</v>
      </c>
      <c r="B58">
        <v>51669678</v>
      </c>
      <c r="C58">
        <v>51670135</v>
      </c>
      <c r="D58">
        <v>270772347</v>
      </c>
      <c r="E58">
        <v>1</v>
      </c>
      <c r="F58">
        <v>1</v>
      </c>
      <c r="G58">
        <v>1</v>
      </c>
      <c r="H58">
        <v>2</v>
      </c>
      <c r="I58" t="s">
        <v>508</v>
      </c>
      <c r="J58" t="s">
        <v>509</v>
      </c>
      <c r="K58" t="s">
        <v>510</v>
      </c>
      <c r="L58">
        <v>1368</v>
      </c>
      <c r="N58">
        <v>1011</v>
      </c>
      <c r="O58" t="s">
        <v>466</v>
      </c>
      <c r="P58" t="s">
        <v>466</v>
      </c>
      <c r="Q58">
        <v>1</v>
      </c>
      <c r="W58">
        <v>0</v>
      </c>
      <c r="X58">
        <v>-1259093144</v>
      </c>
      <c r="Y58">
        <v>0.640625</v>
      </c>
      <c r="AA58">
        <v>0</v>
      </c>
      <c r="AB58">
        <v>30.59</v>
      </c>
      <c r="AC58">
        <v>0</v>
      </c>
      <c r="AD58">
        <v>0</v>
      </c>
      <c r="AE58">
        <v>0</v>
      </c>
      <c r="AF58">
        <v>30.59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0.41</v>
      </c>
      <c r="AU58" t="s">
        <v>139</v>
      </c>
      <c r="AV58">
        <v>0</v>
      </c>
      <c r="AW58">
        <v>2</v>
      </c>
      <c r="AX58">
        <v>51670149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Y58*Source!I81</f>
        <v>4.8687499999999995</v>
      </c>
      <c r="CY58">
        <f>AB58</f>
        <v>30.59</v>
      </c>
      <c r="CZ58">
        <f>AF58</f>
        <v>30.59</v>
      </c>
      <c r="DA58">
        <f>AJ58</f>
        <v>1</v>
      </c>
      <c r="DB58">
        <f>ROUND(((ROUND(AT58*CZ58,2)*1.25)*1.25),2)</f>
        <v>19.59</v>
      </c>
      <c r="DC58">
        <f>ROUND(((ROUND(AT58*AG58,2)*1.25)*1.25),2)</f>
        <v>0</v>
      </c>
    </row>
    <row r="59" spans="1:107" ht="12.75">
      <c r="A59">
        <f>ROW(Source!A81)</f>
        <v>81</v>
      </c>
      <c r="B59">
        <v>51669678</v>
      </c>
      <c r="C59">
        <v>51670135</v>
      </c>
      <c r="D59">
        <v>270774071</v>
      </c>
      <c r="E59">
        <v>1</v>
      </c>
      <c r="F59">
        <v>1</v>
      </c>
      <c r="G59">
        <v>1</v>
      </c>
      <c r="H59">
        <v>2</v>
      </c>
      <c r="I59" t="s">
        <v>479</v>
      </c>
      <c r="J59" t="s">
        <v>480</v>
      </c>
      <c r="K59" t="s">
        <v>481</v>
      </c>
      <c r="L59">
        <v>1368</v>
      </c>
      <c r="N59">
        <v>1011</v>
      </c>
      <c r="O59" t="s">
        <v>466</v>
      </c>
      <c r="P59" t="s">
        <v>466</v>
      </c>
      <c r="Q59">
        <v>1</v>
      </c>
      <c r="W59">
        <v>0</v>
      </c>
      <c r="X59">
        <v>1109194647</v>
      </c>
      <c r="Y59">
        <v>0.125</v>
      </c>
      <c r="AA59">
        <v>0</v>
      </c>
      <c r="AB59">
        <v>119.95</v>
      </c>
      <c r="AC59">
        <v>20.99</v>
      </c>
      <c r="AD59">
        <v>0</v>
      </c>
      <c r="AE59">
        <v>0</v>
      </c>
      <c r="AF59">
        <v>119.95</v>
      </c>
      <c r="AG59">
        <v>20.99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0.08</v>
      </c>
      <c r="AU59" t="s">
        <v>139</v>
      </c>
      <c r="AV59">
        <v>0</v>
      </c>
      <c r="AW59">
        <v>2</v>
      </c>
      <c r="AX59">
        <v>51670150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Y59*Source!I81</f>
        <v>0.95</v>
      </c>
      <c r="CY59">
        <f>AB59</f>
        <v>119.95</v>
      </c>
      <c r="CZ59">
        <f>AF59</f>
        <v>119.95</v>
      </c>
      <c r="DA59">
        <f>AJ59</f>
        <v>1</v>
      </c>
      <c r="DB59">
        <f>ROUND(((ROUND(AT59*CZ59,2)*1.25)*1.25),2)</f>
        <v>15</v>
      </c>
      <c r="DC59">
        <f>ROUND(((ROUND(AT59*AG59,2)*1.25)*1.25),2)</f>
        <v>2.63</v>
      </c>
    </row>
    <row r="60" spans="1:107" ht="12.75">
      <c r="A60">
        <f>ROW(Source!A81)</f>
        <v>81</v>
      </c>
      <c r="B60">
        <v>51669678</v>
      </c>
      <c r="C60">
        <v>51670135</v>
      </c>
      <c r="D60">
        <v>270717078</v>
      </c>
      <c r="E60">
        <v>1</v>
      </c>
      <c r="F60">
        <v>1</v>
      </c>
      <c r="G60">
        <v>1</v>
      </c>
      <c r="H60">
        <v>3</v>
      </c>
      <c r="I60" t="s">
        <v>533</v>
      </c>
      <c r="J60" t="s">
        <v>534</v>
      </c>
      <c r="K60" t="s">
        <v>535</v>
      </c>
      <c r="L60">
        <v>1348</v>
      </c>
      <c r="N60">
        <v>1009</v>
      </c>
      <c r="O60" t="s">
        <v>37</v>
      </c>
      <c r="P60" t="s">
        <v>37</v>
      </c>
      <c r="Q60">
        <v>1000</v>
      </c>
      <c r="W60">
        <v>0</v>
      </c>
      <c r="X60">
        <v>942810981</v>
      </c>
      <c r="Y60">
        <v>0.05</v>
      </c>
      <c r="AA60">
        <v>3902.13</v>
      </c>
      <c r="AB60">
        <v>0</v>
      </c>
      <c r="AC60">
        <v>0</v>
      </c>
      <c r="AD60">
        <v>0</v>
      </c>
      <c r="AE60">
        <v>3902.13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0.05</v>
      </c>
      <c r="AV60">
        <v>0</v>
      </c>
      <c r="AW60">
        <v>2</v>
      </c>
      <c r="AX60">
        <v>51670151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Y60*Source!I81</f>
        <v>0.38</v>
      </c>
      <c r="CY60">
        <f>AA60</f>
        <v>3902.13</v>
      </c>
      <c r="CZ60">
        <f>AE60</f>
        <v>3902.13</v>
      </c>
      <c r="DA60">
        <f>AI60</f>
        <v>1</v>
      </c>
      <c r="DB60">
        <f>ROUND(ROUND(AT60*CZ60,2),2)</f>
        <v>195.11</v>
      </c>
      <c r="DC60">
        <f>ROUND(ROUND(AT60*AG60,2),2)</f>
        <v>0</v>
      </c>
    </row>
    <row r="61" spans="1:107" ht="12.75">
      <c r="A61">
        <f>ROW(Source!A81)</f>
        <v>81</v>
      </c>
      <c r="B61">
        <v>51669678</v>
      </c>
      <c r="C61">
        <v>51670135</v>
      </c>
      <c r="D61">
        <v>270717992</v>
      </c>
      <c r="E61">
        <v>1</v>
      </c>
      <c r="F61">
        <v>1</v>
      </c>
      <c r="G61">
        <v>1</v>
      </c>
      <c r="H61">
        <v>3</v>
      </c>
      <c r="I61" t="s">
        <v>180</v>
      </c>
      <c r="J61" t="s">
        <v>183</v>
      </c>
      <c r="K61" t="s">
        <v>181</v>
      </c>
      <c r="L61">
        <v>36015243</v>
      </c>
      <c r="N61">
        <v>1005</v>
      </c>
      <c r="O61" t="s">
        <v>182</v>
      </c>
      <c r="P61" t="s">
        <v>184</v>
      </c>
      <c r="Q61">
        <v>1</v>
      </c>
      <c r="W61">
        <v>1</v>
      </c>
      <c r="X61">
        <v>-477226923</v>
      </c>
      <c r="Y61">
        <v>-110</v>
      </c>
      <c r="AA61">
        <v>21.92</v>
      </c>
      <c r="AB61">
        <v>0</v>
      </c>
      <c r="AC61">
        <v>0</v>
      </c>
      <c r="AD61">
        <v>0</v>
      </c>
      <c r="AE61">
        <v>5.68</v>
      </c>
      <c r="AF61">
        <v>0</v>
      </c>
      <c r="AG61">
        <v>0</v>
      </c>
      <c r="AH61">
        <v>0</v>
      </c>
      <c r="AI61">
        <v>3.86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-110</v>
      </c>
      <c r="AV61">
        <v>0</v>
      </c>
      <c r="AW61">
        <v>2</v>
      </c>
      <c r="AX61">
        <v>51670152</v>
      </c>
      <c r="AY61">
        <v>1</v>
      </c>
      <c r="AZ61">
        <v>6144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Y61*Source!I81</f>
        <v>-836</v>
      </c>
      <c r="CY61">
        <f>AA61</f>
        <v>21.92</v>
      </c>
      <c r="CZ61">
        <f>AE61</f>
        <v>5.68</v>
      </c>
      <c r="DA61">
        <f>AI61</f>
        <v>3.86</v>
      </c>
      <c r="DB61">
        <f>ROUND(ROUND(AT61*CZ61,2),2)</f>
        <v>-624.8</v>
      </c>
      <c r="DC61">
        <f>ROUND(ROUND(AT61*AG61,2),2)</f>
        <v>0</v>
      </c>
    </row>
    <row r="62" spans="1:107" ht="12.75">
      <c r="A62">
        <f>ROW(Source!A81)</f>
        <v>81</v>
      </c>
      <c r="B62">
        <v>51669678</v>
      </c>
      <c r="C62">
        <v>51670135</v>
      </c>
      <c r="D62">
        <v>270717687</v>
      </c>
      <c r="E62">
        <v>1</v>
      </c>
      <c r="F62">
        <v>1</v>
      </c>
      <c r="G62">
        <v>1</v>
      </c>
      <c r="H62">
        <v>3</v>
      </c>
      <c r="I62" t="s">
        <v>175</v>
      </c>
      <c r="J62" t="s">
        <v>178</v>
      </c>
      <c r="K62" t="s">
        <v>176</v>
      </c>
      <c r="L62">
        <v>1330</v>
      </c>
      <c r="N62">
        <v>1005</v>
      </c>
      <c r="O62" t="s">
        <v>177</v>
      </c>
      <c r="P62" t="s">
        <v>177</v>
      </c>
      <c r="Q62">
        <v>10</v>
      </c>
      <c r="W62">
        <v>0</v>
      </c>
      <c r="X62">
        <v>195271772</v>
      </c>
      <c r="Y62">
        <v>11</v>
      </c>
      <c r="AA62">
        <v>340.45</v>
      </c>
      <c r="AB62">
        <v>0</v>
      </c>
      <c r="AC62">
        <v>0</v>
      </c>
      <c r="AD62">
        <v>0</v>
      </c>
      <c r="AE62">
        <v>58.8</v>
      </c>
      <c r="AF62">
        <v>0</v>
      </c>
      <c r="AG62">
        <v>0</v>
      </c>
      <c r="AH62">
        <v>0</v>
      </c>
      <c r="AI62">
        <v>5.79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11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Y62*Source!I81</f>
        <v>83.6</v>
      </c>
      <c r="CY62">
        <f>AA62</f>
        <v>340.45</v>
      </c>
      <c r="CZ62">
        <f>AE62</f>
        <v>58.8</v>
      </c>
      <c r="DA62">
        <f>AI62</f>
        <v>5.79</v>
      </c>
      <c r="DB62">
        <f>ROUND(ROUND(AT62*CZ62,2),2)</f>
        <v>646.8</v>
      </c>
      <c r="DC62">
        <f>ROUND(ROUND(AT62*AG62,2),2)</f>
        <v>0</v>
      </c>
    </row>
    <row r="63" spans="1:107" ht="12.75">
      <c r="A63">
        <f>ROW(Source!A84)</f>
        <v>84</v>
      </c>
      <c r="B63">
        <v>51669678</v>
      </c>
      <c r="C63">
        <v>51670239</v>
      </c>
      <c r="D63">
        <v>202548993</v>
      </c>
      <c r="E63">
        <v>1</v>
      </c>
      <c r="F63">
        <v>1</v>
      </c>
      <c r="G63">
        <v>1</v>
      </c>
      <c r="H63">
        <v>1</v>
      </c>
      <c r="I63" t="s">
        <v>474</v>
      </c>
      <c r="K63" t="s">
        <v>475</v>
      </c>
      <c r="L63">
        <v>1369</v>
      </c>
      <c r="N63">
        <v>1013</v>
      </c>
      <c r="O63" t="s">
        <v>462</v>
      </c>
      <c r="P63" t="s">
        <v>462</v>
      </c>
      <c r="Q63">
        <v>1</v>
      </c>
      <c r="W63">
        <v>0</v>
      </c>
      <c r="X63">
        <v>888074361</v>
      </c>
      <c r="Y63">
        <v>162.078125</v>
      </c>
      <c r="AA63">
        <v>0</v>
      </c>
      <c r="AB63">
        <v>0</v>
      </c>
      <c r="AC63">
        <v>0</v>
      </c>
      <c r="AD63">
        <v>16.17</v>
      </c>
      <c r="AE63">
        <v>0</v>
      </c>
      <c r="AF63">
        <v>0</v>
      </c>
      <c r="AG63">
        <v>0</v>
      </c>
      <c r="AH63">
        <v>16.17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112.75</v>
      </c>
      <c r="AU63" t="s">
        <v>519</v>
      </c>
      <c r="AV63">
        <v>1</v>
      </c>
      <c r="AW63">
        <v>2</v>
      </c>
      <c r="AX63">
        <v>51670247</v>
      </c>
      <c r="AY63">
        <v>1</v>
      </c>
      <c r="AZ63">
        <v>0</v>
      </c>
      <c r="BA63">
        <v>60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Y63*Source!I84</f>
        <v>84.280625</v>
      </c>
      <c r="CY63">
        <f>AD63</f>
        <v>16.17</v>
      </c>
      <c r="CZ63">
        <f>AH63</f>
        <v>16.17</v>
      </c>
      <c r="DA63">
        <f>AL63</f>
        <v>1</v>
      </c>
      <c r="DB63">
        <f>ROUND(((ROUND(AT63*CZ63,2)*1.15)*1.25),2)</f>
        <v>2620.81</v>
      </c>
      <c r="DC63">
        <f>ROUND(((ROUND(AT63*AG63,2)*1.15)*1.25),2)</f>
        <v>0</v>
      </c>
    </row>
    <row r="64" spans="1:107" ht="12.75">
      <c r="A64">
        <f>ROW(Source!A84)</f>
        <v>84</v>
      </c>
      <c r="B64">
        <v>51669678</v>
      </c>
      <c r="C64">
        <v>51670239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26</v>
      </c>
      <c r="K64" t="s">
        <v>469</v>
      </c>
      <c r="L64">
        <v>608254</v>
      </c>
      <c r="N64">
        <v>1013</v>
      </c>
      <c r="O64" t="s">
        <v>470</v>
      </c>
      <c r="P64" t="s">
        <v>470</v>
      </c>
      <c r="Q64">
        <v>1</v>
      </c>
      <c r="W64">
        <v>0</v>
      </c>
      <c r="X64">
        <v>-185737400</v>
      </c>
      <c r="Y64">
        <v>0.3125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0.2</v>
      </c>
      <c r="AU64" t="s">
        <v>520</v>
      </c>
      <c r="AV64">
        <v>2</v>
      </c>
      <c r="AW64">
        <v>2</v>
      </c>
      <c r="AX64">
        <v>51670248</v>
      </c>
      <c r="AY64">
        <v>1</v>
      </c>
      <c r="AZ64">
        <v>0</v>
      </c>
      <c r="BA64">
        <v>61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Y64*Source!I84</f>
        <v>0.1625</v>
      </c>
      <c r="CY64">
        <f>AD64</f>
        <v>0</v>
      </c>
      <c r="CZ64">
        <f>AH64</f>
        <v>0</v>
      </c>
      <c r="DA64">
        <f>AL64</f>
        <v>1</v>
      </c>
      <c r="DB64">
        <f>ROUND(((ROUND(AT64*CZ64,2)*1.25)*1.25),2)</f>
        <v>0</v>
      </c>
      <c r="DC64">
        <f>ROUND(((ROUND(AT64*AG64,2)*1.25)*1.25),2)</f>
        <v>0</v>
      </c>
    </row>
    <row r="65" spans="1:107" ht="12.75">
      <c r="A65">
        <f>ROW(Source!A84)</f>
        <v>84</v>
      </c>
      <c r="B65">
        <v>51669678</v>
      </c>
      <c r="C65">
        <v>51670239</v>
      </c>
      <c r="D65">
        <v>270771356</v>
      </c>
      <c r="E65">
        <v>1</v>
      </c>
      <c r="F65">
        <v>1</v>
      </c>
      <c r="G65">
        <v>1</v>
      </c>
      <c r="H65">
        <v>2</v>
      </c>
      <c r="I65" t="s">
        <v>471</v>
      </c>
      <c r="J65" t="s">
        <v>472</v>
      </c>
      <c r="K65" t="s">
        <v>473</v>
      </c>
      <c r="L65">
        <v>1368</v>
      </c>
      <c r="N65">
        <v>1011</v>
      </c>
      <c r="O65" t="s">
        <v>466</v>
      </c>
      <c r="P65" t="s">
        <v>466</v>
      </c>
      <c r="Q65">
        <v>1</v>
      </c>
      <c r="W65">
        <v>0</v>
      </c>
      <c r="X65">
        <v>-435889032</v>
      </c>
      <c r="Y65">
        <v>0.3125</v>
      </c>
      <c r="AA65">
        <v>0</v>
      </c>
      <c r="AB65">
        <v>98.9</v>
      </c>
      <c r="AC65">
        <v>24.53</v>
      </c>
      <c r="AD65">
        <v>0</v>
      </c>
      <c r="AE65">
        <v>0</v>
      </c>
      <c r="AF65">
        <v>98.9</v>
      </c>
      <c r="AG65">
        <v>24.53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0.2</v>
      </c>
      <c r="AU65" t="s">
        <v>139</v>
      </c>
      <c r="AV65">
        <v>0</v>
      </c>
      <c r="AW65">
        <v>2</v>
      </c>
      <c r="AX65">
        <v>51670249</v>
      </c>
      <c r="AY65">
        <v>1</v>
      </c>
      <c r="AZ65">
        <v>0</v>
      </c>
      <c r="BA65">
        <v>62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Y65*Source!I84</f>
        <v>0.1625</v>
      </c>
      <c r="CY65">
        <f>AB65</f>
        <v>98.9</v>
      </c>
      <c r="CZ65">
        <f>AF65</f>
        <v>98.9</v>
      </c>
      <c r="DA65">
        <f>AJ65</f>
        <v>1</v>
      </c>
      <c r="DB65">
        <f>ROUND(((ROUND(AT65*CZ65,2)*1.25)*1.25),2)</f>
        <v>30.91</v>
      </c>
      <c r="DC65">
        <f>ROUND(((ROUND(AT65*AG65,2)*1.25)*1.25),2)</f>
        <v>7.67</v>
      </c>
    </row>
    <row r="66" spans="1:107" ht="12.75">
      <c r="A66">
        <f>ROW(Source!A84)</f>
        <v>84</v>
      </c>
      <c r="B66">
        <v>51669678</v>
      </c>
      <c r="C66">
        <v>51670239</v>
      </c>
      <c r="D66">
        <v>270774071</v>
      </c>
      <c r="E66">
        <v>1</v>
      </c>
      <c r="F66">
        <v>1</v>
      </c>
      <c r="G66">
        <v>1</v>
      </c>
      <c r="H66">
        <v>2</v>
      </c>
      <c r="I66" t="s">
        <v>479</v>
      </c>
      <c r="J66" t="s">
        <v>480</v>
      </c>
      <c r="K66" t="s">
        <v>481</v>
      </c>
      <c r="L66">
        <v>1368</v>
      </c>
      <c r="N66">
        <v>1011</v>
      </c>
      <c r="O66" t="s">
        <v>466</v>
      </c>
      <c r="P66" t="s">
        <v>466</v>
      </c>
      <c r="Q66">
        <v>1</v>
      </c>
      <c r="W66">
        <v>0</v>
      </c>
      <c r="X66">
        <v>1109194647</v>
      </c>
      <c r="Y66">
        <v>0.10937500000000001</v>
      </c>
      <c r="AA66">
        <v>0</v>
      </c>
      <c r="AB66">
        <v>119.95</v>
      </c>
      <c r="AC66">
        <v>20.99</v>
      </c>
      <c r="AD66">
        <v>0</v>
      </c>
      <c r="AE66">
        <v>0</v>
      </c>
      <c r="AF66">
        <v>119.95</v>
      </c>
      <c r="AG66">
        <v>20.99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0.07</v>
      </c>
      <c r="AU66" t="s">
        <v>139</v>
      </c>
      <c r="AV66">
        <v>0</v>
      </c>
      <c r="AW66">
        <v>2</v>
      </c>
      <c r="AX66">
        <v>51670250</v>
      </c>
      <c r="AY66">
        <v>1</v>
      </c>
      <c r="AZ66">
        <v>0</v>
      </c>
      <c r="BA66">
        <v>63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Y66*Source!I84</f>
        <v>0.05687500000000001</v>
      </c>
      <c r="CY66">
        <f>AB66</f>
        <v>119.95</v>
      </c>
      <c r="CZ66">
        <f>AF66</f>
        <v>119.95</v>
      </c>
      <c r="DA66">
        <f>AJ66</f>
        <v>1</v>
      </c>
      <c r="DB66">
        <f>ROUND(((ROUND(AT66*CZ66,2)*1.25)*1.25),2)</f>
        <v>13.13</v>
      </c>
      <c r="DC66">
        <f>ROUND(((ROUND(AT66*AG66,2)*1.25)*1.25),2)</f>
        <v>2.3</v>
      </c>
    </row>
    <row r="67" spans="1:107" ht="12.75">
      <c r="A67">
        <f>ROW(Source!A84)</f>
        <v>84</v>
      </c>
      <c r="B67">
        <v>51669678</v>
      </c>
      <c r="C67">
        <v>51670239</v>
      </c>
      <c r="D67">
        <v>270724045</v>
      </c>
      <c r="E67">
        <v>1</v>
      </c>
      <c r="F67">
        <v>1</v>
      </c>
      <c r="G67">
        <v>1</v>
      </c>
      <c r="H67">
        <v>3</v>
      </c>
      <c r="I67" t="s">
        <v>536</v>
      </c>
      <c r="J67" t="s">
        <v>537</v>
      </c>
      <c r="K67" t="s">
        <v>538</v>
      </c>
      <c r="L67">
        <v>1348</v>
      </c>
      <c r="N67">
        <v>1009</v>
      </c>
      <c r="O67" t="s">
        <v>37</v>
      </c>
      <c r="P67" t="s">
        <v>37</v>
      </c>
      <c r="Q67">
        <v>1000</v>
      </c>
      <c r="W67">
        <v>0</v>
      </c>
      <c r="X67">
        <v>770520473</v>
      </c>
      <c r="Y67">
        <v>0.004</v>
      </c>
      <c r="AA67">
        <v>9465.51</v>
      </c>
      <c r="AB67">
        <v>0</v>
      </c>
      <c r="AC67">
        <v>0</v>
      </c>
      <c r="AD67">
        <v>0</v>
      </c>
      <c r="AE67">
        <v>9465.51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0.004</v>
      </c>
      <c r="AV67">
        <v>0</v>
      </c>
      <c r="AW67">
        <v>2</v>
      </c>
      <c r="AX67">
        <v>51670251</v>
      </c>
      <c r="AY67">
        <v>1</v>
      </c>
      <c r="AZ67">
        <v>0</v>
      </c>
      <c r="BA67">
        <v>64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Y67*Source!I84</f>
        <v>0.0020800000000000003</v>
      </c>
      <c r="CY67">
        <f>AA67</f>
        <v>9465.51</v>
      </c>
      <c r="CZ67">
        <f>AE67</f>
        <v>9465.51</v>
      </c>
      <c r="DA67">
        <f>AI67</f>
        <v>1</v>
      </c>
      <c r="DB67">
        <f>ROUND(ROUND(AT67*CZ67,2),2)</f>
        <v>37.86</v>
      </c>
      <c r="DC67">
        <f>ROUND(ROUND(AT67*AG67,2),2)</f>
        <v>0</v>
      </c>
    </row>
    <row r="68" spans="1:107" ht="12.75">
      <c r="A68">
        <f>ROW(Source!A84)</f>
        <v>84</v>
      </c>
      <c r="B68">
        <v>51669678</v>
      </c>
      <c r="C68">
        <v>51670239</v>
      </c>
      <c r="D68">
        <v>270723263</v>
      </c>
      <c r="E68">
        <v>1</v>
      </c>
      <c r="F68">
        <v>1</v>
      </c>
      <c r="G68">
        <v>1</v>
      </c>
      <c r="H68">
        <v>3</v>
      </c>
      <c r="I68" t="s">
        <v>539</v>
      </c>
      <c r="J68" t="s">
        <v>540</v>
      </c>
      <c r="K68" t="s">
        <v>541</v>
      </c>
      <c r="L68">
        <v>1348</v>
      </c>
      <c r="N68">
        <v>1009</v>
      </c>
      <c r="O68" t="s">
        <v>37</v>
      </c>
      <c r="P68" t="s">
        <v>37</v>
      </c>
      <c r="Q68">
        <v>1000</v>
      </c>
      <c r="W68">
        <v>0</v>
      </c>
      <c r="X68">
        <v>674187138</v>
      </c>
      <c r="Y68">
        <v>0.012</v>
      </c>
      <c r="AA68">
        <v>12894.74</v>
      </c>
      <c r="AB68">
        <v>0</v>
      </c>
      <c r="AC68">
        <v>0</v>
      </c>
      <c r="AD68">
        <v>0</v>
      </c>
      <c r="AE68">
        <v>12894.74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0.012</v>
      </c>
      <c r="AV68">
        <v>0</v>
      </c>
      <c r="AW68">
        <v>2</v>
      </c>
      <c r="AX68">
        <v>51670252</v>
      </c>
      <c r="AY68">
        <v>1</v>
      </c>
      <c r="AZ68">
        <v>0</v>
      </c>
      <c r="BA68">
        <v>65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Y68*Source!I84</f>
        <v>0.006240000000000001</v>
      </c>
      <c r="CY68">
        <f>AA68</f>
        <v>12894.74</v>
      </c>
      <c r="CZ68">
        <f>AE68</f>
        <v>12894.74</v>
      </c>
      <c r="DA68">
        <f>AI68</f>
        <v>1</v>
      </c>
      <c r="DB68">
        <f>ROUND(ROUND(AT68*CZ68,2),2)</f>
        <v>154.74</v>
      </c>
      <c r="DC68">
        <f>ROUND(ROUND(AT68*AG68,2),2)</f>
        <v>0</v>
      </c>
    </row>
    <row r="69" spans="1:107" ht="12.75">
      <c r="A69">
        <f>ROW(Source!A84)</f>
        <v>84</v>
      </c>
      <c r="B69">
        <v>51669678</v>
      </c>
      <c r="C69">
        <v>51670239</v>
      </c>
      <c r="D69">
        <v>270722834</v>
      </c>
      <c r="E69">
        <v>1</v>
      </c>
      <c r="F69">
        <v>1</v>
      </c>
      <c r="G69">
        <v>1</v>
      </c>
      <c r="H69">
        <v>3</v>
      </c>
      <c r="I69" t="s">
        <v>343</v>
      </c>
      <c r="J69" t="s">
        <v>345</v>
      </c>
      <c r="K69" t="s">
        <v>344</v>
      </c>
      <c r="L69">
        <v>1348</v>
      </c>
      <c r="N69">
        <v>1009</v>
      </c>
      <c r="O69" t="s">
        <v>37</v>
      </c>
      <c r="P69" t="s">
        <v>37</v>
      </c>
      <c r="Q69">
        <v>1000</v>
      </c>
      <c r="W69">
        <v>0</v>
      </c>
      <c r="X69">
        <v>2049988724</v>
      </c>
      <c r="Y69">
        <v>0.782</v>
      </c>
      <c r="AA69">
        <v>9696.76</v>
      </c>
      <c r="AB69">
        <v>0</v>
      </c>
      <c r="AC69">
        <v>0</v>
      </c>
      <c r="AD69">
        <v>0</v>
      </c>
      <c r="AE69">
        <v>9696.76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0.782</v>
      </c>
      <c r="AV69">
        <v>0</v>
      </c>
      <c r="AW69">
        <v>2</v>
      </c>
      <c r="AX69">
        <v>51670253</v>
      </c>
      <c r="AY69">
        <v>1</v>
      </c>
      <c r="AZ69">
        <v>0</v>
      </c>
      <c r="BA69">
        <v>66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Y69*Source!I84</f>
        <v>0.40664</v>
      </c>
      <c r="CY69">
        <f>AA69</f>
        <v>9696.76</v>
      </c>
      <c r="CZ69">
        <f>AE69</f>
        <v>9696.76</v>
      </c>
      <c r="DA69">
        <f>AI69</f>
        <v>1</v>
      </c>
      <c r="DB69">
        <f>ROUND(ROUND(AT69*CZ69,2),2)</f>
        <v>7582.87</v>
      </c>
      <c r="DC69">
        <f>ROUND(ROUND(AT69*AG69,2),2)</f>
        <v>0</v>
      </c>
    </row>
    <row r="70" spans="1:107" ht="12.75">
      <c r="A70">
        <f>ROW(Source!A85)</f>
        <v>85</v>
      </c>
      <c r="B70">
        <v>51669678</v>
      </c>
      <c r="C70">
        <v>51688909</v>
      </c>
      <c r="D70">
        <v>202548993</v>
      </c>
      <c r="E70">
        <v>1</v>
      </c>
      <c r="F70">
        <v>1</v>
      </c>
      <c r="G70">
        <v>1</v>
      </c>
      <c r="H70">
        <v>1</v>
      </c>
      <c r="I70" t="s">
        <v>474</v>
      </c>
      <c r="K70" t="s">
        <v>475</v>
      </c>
      <c r="L70">
        <v>1369</v>
      </c>
      <c r="N70">
        <v>1013</v>
      </c>
      <c r="O70" t="s">
        <v>462</v>
      </c>
      <c r="P70" t="s">
        <v>462</v>
      </c>
      <c r="Q70">
        <v>1</v>
      </c>
      <c r="W70">
        <v>0</v>
      </c>
      <c r="X70">
        <v>888074361</v>
      </c>
      <c r="Y70">
        <v>2.7743749999999996</v>
      </c>
      <c r="AA70">
        <v>0</v>
      </c>
      <c r="AB70">
        <v>0</v>
      </c>
      <c r="AC70">
        <v>0</v>
      </c>
      <c r="AD70">
        <v>16.17</v>
      </c>
      <c r="AE70">
        <v>0</v>
      </c>
      <c r="AF70">
        <v>0</v>
      </c>
      <c r="AG70">
        <v>0</v>
      </c>
      <c r="AH70">
        <v>16.17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1.93</v>
      </c>
      <c r="AU70" t="s">
        <v>519</v>
      </c>
      <c r="AV70">
        <v>1</v>
      </c>
      <c r="AW70">
        <v>2</v>
      </c>
      <c r="AX70">
        <v>51688914</v>
      </c>
      <c r="AY70">
        <v>1</v>
      </c>
      <c r="AZ70">
        <v>0</v>
      </c>
      <c r="BA70">
        <v>67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Y70*Source!I85</f>
        <v>33.2925</v>
      </c>
      <c r="CY70">
        <f>AD70</f>
        <v>16.17</v>
      </c>
      <c r="CZ70">
        <f>AH70</f>
        <v>16.17</v>
      </c>
      <c r="DA70">
        <f>AL70</f>
        <v>1</v>
      </c>
      <c r="DB70">
        <f>ROUND(((ROUND(AT70*CZ70,2)*1.15)*1.25),2)</f>
        <v>44.86</v>
      </c>
      <c r="DC70">
        <f>ROUND(((ROUND(AT70*AG70,2)*1.15)*1.25),2)</f>
        <v>0</v>
      </c>
    </row>
    <row r="71" spans="1:107" ht="12.75">
      <c r="A71">
        <f>ROW(Source!A85)</f>
        <v>85</v>
      </c>
      <c r="B71">
        <v>51669678</v>
      </c>
      <c r="C71">
        <v>51688909</v>
      </c>
      <c r="D71">
        <v>270774071</v>
      </c>
      <c r="E71">
        <v>1</v>
      </c>
      <c r="F71">
        <v>1</v>
      </c>
      <c r="G71">
        <v>1</v>
      </c>
      <c r="H71">
        <v>2</v>
      </c>
      <c r="I71" t="s">
        <v>479</v>
      </c>
      <c r="J71" t="s">
        <v>480</v>
      </c>
      <c r="K71" t="s">
        <v>481</v>
      </c>
      <c r="L71">
        <v>1368</v>
      </c>
      <c r="N71">
        <v>1011</v>
      </c>
      <c r="O71" t="s">
        <v>466</v>
      </c>
      <c r="P71" t="s">
        <v>466</v>
      </c>
      <c r="Q71">
        <v>1</v>
      </c>
      <c r="W71">
        <v>0</v>
      </c>
      <c r="X71">
        <v>1109194647</v>
      </c>
      <c r="Y71">
        <v>0.015625</v>
      </c>
      <c r="AA71">
        <v>0</v>
      </c>
      <c r="AB71">
        <v>119.95</v>
      </c>
      <c r="AC71">
        <v>20.99</v>
      </c>
      <c r="AD71">
        <v>0</v>
      </c>
      <c r="AE71">
        <v>0</v>
      </c>
      <c r="AF71">
        <v>119.95</v>
      </c>
      <c r="AG71">
        <v>20.99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0.01</v>
      </c>
      <c r="AU71" t="s">
        <v>139</v>
      </c>
      <c r="AV71">
        <v>0</v>
      </c>
      <c r="AW71">
        <v>2</v>
      </c>
      <c r="AX71">
        <v>51688915</v>
      </c>
      <c r="AY71">
        <v>1</v>
      </c>
      <c r="AZ71">
        <v>0</v>
      </c>
      <c r="BA71">
        <v>68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Y71*Source!I85</f>
        <v>0.1875</v>
      </c>
      <c r="CY71">
        <f>AB71</f>
        <v>119.95</v>
      </c>
      <c r="CZ71">
        <f>AF71</f>
        <v>119.95</v>
      </c>
      <c r="DA71">
        <f>AJ71</f>
        <v>1</v>
      </c>
      <c r="DB71">
        <f>ROUND(((ROUND(AT71*CZ71,2)*1.25)*1.25),2)</f>
        <v>1.88</v>
      </c>
      <c r="DC71">
        <f>ROUND(((ROUND(AT71*AG71,2)*1.25)*1.25),2)</f>
        <v>0.33</v>
      </c>
    </row>
    <row r="72" spans="1:107" ht="12.75">
      <c r="A72">
        <f>ROW(Source!A85)</f>
        <v>85</v>
      </c>
      <c r="B72">
        <v>51669678</v>
      </c>
      <c r="C72">
        <v>51688909</v>
      </c>
      <c r="D72">
        <v>270724025</v>
      </c>
      <c r="E72">
        <v>1</v>
      </c>
      <c r="F72">
        <v>1</v>
      </c>
      <c r="G72">
        <v>1</v>
      </c>
      <c r="H72">
        <v>3</v>
      </c>
      <c r="I72" t="s">
        <v>542</v>
      </c>
      <c r="J72" t="s">
        <v>543</v>
      </c>
      <c r="K72" t="s">
        <v>544</v>
      </c>
      <c r="L72">
        <v>1348</v>
      </c>
      <c r="N72">
        <v>1009</v>
      </c>
      <c r="O72" t="s">
        <v>37</v>
      </c>
      <c r="P72" t="s">
        <v>37</v>
      </c>
      <c r="Q72">
        <v>1000</v>
      </c>
      <c r="W72">
        <v>0</v>
      </c>
      <c r="X72">
        <v>-2049481673</v>
      </c>
      <c r="Y72">
        <v>0.0001</v>
      </c>
      <c r="AA72">
        <v>9042.8</v>
      </c>
      <c r="AB72">
        <v>0</v>
      </c>
      <c r="AC72">
        <v>0</v>
      </c>
      <c r="AD72">
        <v>0</v>
      </c>
      <c r="AE72">
        <v>9042.8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0.0001</v>
      </c>
      <c r="AV72">
        <v>0</v>
      </c>
      <c r="AW72">
        <v>2</v>
      </c>
      <c r="AX72">
        <v>51688916</v>
      </c>
      <c r="AY72">
        <v>1</v>
      </c>
      <c r="AZ72">
        <v>0</v>
      </c>
      <c r="BA72">
        <v>69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Y72*Source!I85</f>
        <v>0.0012000000000000001</v>
      </c>
      <c r="CY72">
        <f>AA72</f>
        <v>9042.8</v>
      </c>
      <c r="CZ72">
        <f>AE72</f>
        <v>9042.8</v>
      </c>
      <c r="DA72">
        <f>AI72</f>
        <v>1</v>
      </c>
      <c r="DB72">
        <f>ROUND(ROUND(AT72*CZ72,2),2)</f>
        <v>0.9</v>
      </c>
      <c r="DC72">
        <f>ROUND(ROUND(AT72*AG72,2),2)</f>
        <v>0</v>
      </c>
    </row>
    <row r="73" spans="1:107" ht="12.75">
      <c r="A73">
        <f>ROW(Source!A85)</f>
        <v>85</v>
      </c>
      <c r="B73">
        <v>51669678</v>
      </c>
      <c r="C73">
        <v>51688909</v>
      </c>
      <c r="D73">
        <v>270722834</v>
      </c>
      <c r="E73">
        <v>1</v>
      </c>
      <c r="F73">
        <v>1</v>
      </c>
      <c r="G73">
        <v>1</v>
      </c>
      <c r="H73">
        <v>3</v>
      </c>
      <c r="I73" t="s">
        <v>343</v>
      </c>
      <c r="J73" t="s">
        <v>345</v>
      </c>
      <c r="K73" t="s">
        <v>344</v>
      </c>
      <c r="L73">
        <v>1348</v>
      </c>
      <c r="N73">
        <v>1009</v>
      </c>
      <c r="O73" t="s">
        <v>37</v>
      </c>
      <c r="P73" t="s">
        <v>37</v>
      </c>
      <c r="Q73">
        <v>1000</v>
      </c>
      <c r="W73">
        <v>0</v>
      </c>
      <c r="X73">
        <v>2049988724</v>
      </c>
      <c r="Y73">
        <v>0.038</v>
      </c>
      <c r="AA73">
        <v>9696.76</v>
      </c>
      <c r="AB73">
        <v>0</v>
      </c>
      <c r="AC73">
        <v>0</v>
      </c>
      <c r="AD73">
        <v>0</v>
      </c>
      <c r="AE73">
        <v>9696.76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0.038</v>
      </c>
      <c r="AV73">
        <v>0</v>
      </c>
      <c r="AW73">
        <v>2</v>
      </c>
      <c r="AX73">
        <v>51688917</v>
      </c>
      <c r="AY73">
        <v>1</v>
      </c>
      <c r="AZ73">
        <v>0</v>
      </c>
      <c r="BA73">
        <v>70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Y73*Source!I85</f>
        <v>0.45599999999999996</v>
      </c>
      <c r="CY73">
        <f>AA73</f>
        <v>9696.76</v>
      </c>
      <c r="CZ73">
        <f>AE73</f>
        <v>9696.76</v>
      </c>
      <c r="DA73">
        <f>AI73</f>
        <v>1</v>
      </c>
      <c r="DB73">
        <f>ROUND(ROUND(AT73*CZ73,2),2)</f>
        <v>368.48</v>
      </c>
      <c r="DC73">
        <f>ROUND(ROUND(AT73*AG73,2),2)</f>
        <v>0</v>
      </c>
    </row>
    <row r="74" spans="1:107" ht="12.75">
      <c r="A74">
        <f>ROW(Source!A86)</f>
        <v>86</v>
      </c>
      <c r="B74">
        <v>51669678</v>
      </c>
      <c r="C74">
        <v>51689525</v>
      </c>
      <c r="D74">
        <v>202542883</v>
      </c>
      <c r="E74">
        <v>1</v>
      </c>
      <c r="F74">
        <v>1</v>
      </c>
      <c r="G74">
        <v>1</v>
      </c>
      <c r="H74">
        <v>1</v>
      </c>
      <c r="I74" t="s">
        <v>506</v>
      </c>
      <c r="K74" t="s">
        <v>507</v>
      </c>
      <c r="L74">
        <v>1369</v>
      </c>
      <c r="N74">
        <v>1013</v>
      </c>
      <c r="O74" t="s">
        <v>462</v>
      </c>
      <c r="P74" t="s">
        <v>462</v>
      </c>
      <c r="Q74">
        <v>1</v>
      </c>
      <c r="W74">
        <v>0</v>
      </c>
      <c r="X74">
        <v>-1719412295</v>
      </c>
      <c r="Y74">
        <v>249.93812499999996</v>
      </c>
      <c r="AA74">
        <v>0</v>
      </c>
      <c r="AB74">
        <v>0</v>
      </c>
      <c r="AC74">
        <v>0</v>
      </c>
      <c r="AD74">
        <v>17.83</v>
      </c>
      <c r="AE74">
        <v>0</v>
      </c>
      <c r="AF74">
        <v>0</v>
      </c>
      <c r="AG74">
        <v>0</v>
      </c>
      <c r="AH74">
        <v>17.83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173.87</v>
      </c>
      <c r="AU74" t="s">
        <v>140</v>
      </c>
      <c r="AV74">
        <v>1</v>
      </c>
      <c r="AW74">
        <v>2</v>
      </c>
      <c r="AX74">
        <v>51689546</v>
      </c>
      <c r="AY74">
        <v>1</v>
      </c>
      <c r="AZ74">
        <v>0</v>
      </c>
      <c r="BA74">
        <v>71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Y74*Source!I86</f>
        <v>1999.5049999999997</v>
      </c>
      <c r="CY74">
        <f>AD74</f>
        <v>17.83</v>
      </c>
      <c r="CZ74">
        <f>AH74</f>
        <v>17.83</v>
      </c>
      <c r="DA74">
        <f>AL74</f>
        <v>1</v>
      </c>
      <c r="DB74">
        <f>ROUND(((ROUND(AT74*CZ74,2)*1.15)*1.25),2)</f>
        <v>4456.39</v>
      </c>
      <c r="DC74">
        <f>ROUND(((ROUND(AT74*AG74,2)*1.15)*1.25),2)</f>
        <v>0</v>
      </c>
    </row>
    <row r="75" spans="1:107" ht="12.75">
      <c r="A75">
        <f>ROW(Source!A86)</f>
        <v>86</v>
      </c>
      <c r="B75">
        <v>51669678</v>
      </c>
      <c r="C75">
        <v>51689525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26</v>
      </c>
      <c r="K75" t="s">
        <v>469</v>
      </c>
      <c r="L75">
        <v>608254</v>
      </c>
      <c r="N75">
        <v>1013</v>
      </c>
      <c r="O75" t="s">
        <v>470</v>
      </c>
      <c r="P75" t="s">
        <v>470</v>
      </c>
      <c r="Q75">
        <v>1</v>
      </c>
      <c r="W75">
        <v>0</v>
      </c>
      <c r="X75">
        <v>-185737400</v>
      </c>
      <c r="Y75">
        <v>2.625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1.68</v>
      </c>
      <c r="AU75" t="s">
        <v>139</v>
      </c>
      <c r="AV75">
        <v>2</v>
      </c>
      <c r="AW75">
        <v>2</v>
      </c>
      <c r="AX75">
        <v>51689547</v>
      </c>
      <c r="AY75">
        <v>1</v>
      </c>
      <c r="AZ75">
        <v>0</v>
      </c>
      <c r="BA75">
        <v>72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Y75*Source!I86</f>
        <v>21</v>
      </c>
      <c r="CY75">
        <f>AD75</f>
        <v>0</v>
      </c>
      <c r="CZ75">
        <f>AH75</f>
        <v>0</v>
      </c>
      <c r="DA75">
        <f>AL75</f>
        <v>1</v>
      </c>
      <c r="DB75">
        <f aca="true" t="shared" si="0" ref="DB75:DB80">ROUND(((ROUND(AT75*CZ75,2)*1.25)*1.25),2)</f>
        <v>0</v>
      </c>
      <c r="DC75">
        <f aca="true" t="shared" si="1" ref="DC75:DC80">ROUND(((ROUND(AT75*AG75,2)*1.25)*1.25),2)</f>
        <v>0</v>
      </c>
    </row>
    <row r="76" spans="1:107" ht="12.75">
      <c r="A76">
        <f>ROW(Source!A86)</f>
        <v>86</v>
      </c>
      <c r="B76">
        <v>51669678</v>
      </c>
      <c r="C76">
        <v>51689525</v>
      </c>
      <c r="D76">
        <v>270771467</v>
      </c>
      <c r="E76">
        <v>1</v>
      </c>
      <c r="F76">
        <v>1</v>
      </c>
      <c r="G76">
        <v>1</v>
      </c>
      <c r="H76">
        <v>2</v>
      </c>
      <c r="I76" t="s">
        <v>476</v>
      </c>
      <c r="J76" t="s">
        <v>477</v>
      </c>
      <c r="K76" t="s">
        <v>478</v>
      </c>
      <c r="L76">
        <v>1368</v>
      </c>
      <c r="N76">
        <v>1011</v>
      </c>
      <c r="O76" t="s">
        <v>466</v>
      </c>
      <c r="P76" t="s">
        <v>466</v>
      </c>
      <c r="Q76">
        <v>1</v>
      </c>
      <c r="W76">
        <v>0</v>
      </c>
      <c r="X76">
        <v>1617131323</v>
      </c>
      <c r="Y76">
        <v>2.625</v>
      </c>
      <c r="AA76">
        <v>0</v>
      </c>
      <c r="AB76">
        <v>125.73</v>
      </c>
      <c r="AC76">
        <v>24.53</v>
      </c>
      <c r="AD76">
        <v>0</v>
      </c>
      <c r="AE76">
        <v>0</v>
      </c>
      <c r="AF76">
        <v>125.73</v>
      </c>
      <c r="AG76">
        <v>24.53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1.68</v>
      </c>
      <c r="AU76" t="s">
        <v>139</v>
      </c>
      <c r="AV76">
        <v>0</v>
      </c>
      <c r="AW76">
        <v>2</v>
      </c>
      <c r="AX76">
        <v>51689548</v>
      </c>
      <c r="AY76">
        <v>1</v>
      </c>
      <c r="AZ76">
        <v>0</v>
      </c>
      <c r="BA76">
        <v>73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Y76*Source!I86</f>
        <v>21</v>
      </c>
      <c r="CY76">
        <f>AB76</f>
        <v>125.73</v>
      </c>
      <c r="CZ76">
        <f>AF76</f>
        <v>125.73</v>
      </c>
      <c r="DA76">
        <f>AJ76</f>
        <v>1</v>
      </c>
      <c r="DB76">
        <f t="shared" si="0"/>
        <v>330.05</v>
      </c>
      <c r="DC76">
        <f t="shared" si="1"/>
        <v>64.39</v>
      </c>
    </row>
    <row r="77" spans="1:107" ht="12.75">
      <c r="A77">
        <f>ROW(Source!A86)</f>
        <v>86</v>
      </c>
      <c r="B77">
        <v>51669678</v>
      </c>
      <c r="C77">
        <v>51689525</v>
      </c>
      <c r="D77">
        <v>270773639</v>
      </c>
      <c r="E77">
        <v>1</v>
      </c>
      <c r="F77">
        <v>1</v>
      </c>
      <c r="G77">
        <v>1</v>
      </c>
      <c r="H77">
        <v>2</v>
      </c>
      <c r="I77" t="s">
        <v>545</v>
      </c>
      <c r="J77" t="s">
        <v>546</v>
      </c>
      <c r="K77" t="s">
        <v>547</v>
      </c>
      <c r="L77">
        <v>1368</v>
      </c>
      <c r="N77">
        <v>1011</v>
      </c>
      <c r="O77" t="s">
        <v>466</v>
      </c>
      <c r="P77" t="s">
        <v>466</v>
      </c>
      <c r="Q77">
        <v>1</v>
      </c>
      <c r="W77">
        <v>0</v>
      </c>
      <c r="X77">
        <v>1079420356</v>
      </c>
      <c r="Y77">
        <v>14.34375</v>
      </c>
      <c r="AA77">
        <v>0</v>
      </c>
      <c r="AB77">
        <v>1.97</v>
      </c>
      <c r="AC77">
        <v>0</v>
      </c>
      <c r="AD77">
        <v>0</v>
      </c>
      <c r="AE77">
        <v>0</v>
      </c>
      <c r="AF77">
        <v>1.97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9.18</v>
      </c>
      <c r="AU77" t="s">
        <v>139</v>
      </c>
      <c r="AV77">
        <v>0</v>
      </c>
      <c r="AW77">
        <v>2</v>
      </c>
      <c r="AX77">
        <v>51689549</v>
      </c>
      <c r="AY77">
        <v>1</v>
      </c>
      <c r="AZ77">
        <v>0</v>
      </c>
      <c r="BA77">
        <v>74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Y77*Source!I86</f>
        <v>114.75</v>
      </c>
      <c r="CY77">
        <f>AB77</f>
        <v>1.97</v>
      </c>
      <c r="CZ77">
        <f>AF77</f>
        <v>1.97</v>
      </c>
      <c r="DA77">
        <f>AJ77</f>
        <v>1</v>
      </c>
      <c r="DB77">
        <f t="shared" si="0"/>
        <v>28.25</v>
      </c>
      <c r="DC77">
        <f t="shared" si="1"/>
        <v>0</v>
      </c>
    </row>
    <row r="78" spans="1:107" ht="12.75">
      <c r="A78">
        <f>ROW(Source!A86)</f>
        <v>86</v>
      </c>
      <c r="B78">
        <v>51669678</v>
      </c>
      <c r="C78">
        <v>51689525</v>
      </c>
      <c r="D78">
        <v>270773681</v>
      </c>
      <c r="E78">
        <v>1</v>
      </c>
      <c r="F78">
        <v>1</v>
      </c>
      <c r="G78">
        <v>1</v>
      </c>
      <c r="H78">
        <v>2</v>
      </c>
      <c r="I78" t="s">
        <v>548</v>
      </c>
      <c r="J78" t="s">
        <v>549</v>
      </c>
      <c r="K78" t="s">
        <v>550</v>
      </c>
      <c r="L78">
        <v>1368</v>
      </c>
      <c r="N78">
        <v>1011</v>
      </c>
      <c r="O78" t="s">
        <v>466</v>
      </c>
      <c r="P78" t="s">
        <v>466</v>
      </c>
      <c r="Q78">
        <v>1</v>
      </c>
      <c r="W78">
        <v>0</v>
      </c>
      <c r="X78">
        <v>-2018035545</v>
      </c>
      <c r="Y78">
        <v>14.46875</v>
      </c>
      <c r="AA78">
        <v>0</v>
      </c>
      <c r="AB78">
        <v>33.59</v>
      </c>
      <c r="AC78">
        <v>0</v>
      </c>
      <c r="AD78">
        <v>0</v>
      </c>
      <c r="AE78">
        <v>0</v>
      </c>
      <c r="AF78">
        <v>33.59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9.26</v>
      </c>
      <c r="AU78" t="s">
        <v>139</v>
      </c>
      <c r="AV78">
        <v>0</v>
      </c>
      <c r="AW78">
        <v>2</v>
      </c>
      <c r="AX78">
        <v>51689550</v>
      </c>
      <c r="AY78">
        <v>1</v>
      </c>
      <c r="AZ78">
        <v>0</v>
      </c>
      <c r="BA78">
        <v>75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Y78*Source!I86</f>
        <v>115.75</v>
      </c>
      <c r="CY78">
        <f>AB78</f>
        <v>33.59</v>
      </c>
      <c r="CZ78">
        <f>AF78</f>
        <v>33.59</v>
      </c>
      <c r="DA78">
        <f>AJ78</f>
        <v>1</v>
      </c>
      <c r="DB78">
        <f t="shared" si="0"/>
        <v>486</v>
      </c>
      <c r="DC78">
        <f t="shared" si="1"/>
        <v>0</v>
      </c>
    </row>
    <row r="79" spans="1:107" ht="12.75">
      <c r="A79">
        <f>ROW(Source!A86)</f>
        <v>86</v>
      </c>
      <c r="B79">
        <v>51669678</v>
      </c>
      <c r="C79">
        <v>51689525</v>
      </c>
      <c r="D79">
        <v>270773735</v>
      </c>
      <c r="E79">
        <v>1</v>
      </c>
      <c r="F79">
        <v>1</v>
      </c>
      <c r="G79">
        <v>1</v>
      </c>
      <c r="H79">
        <v>2</v>
      </c>
      <c r="I79" t="s">
        <v>551</v>
      </c>
      <c r="J79" t="s">
        <v>552</v>
      </c>
      <c r="K79" t="s">
        <v>553</v>
      </c>
      <c r="L79">
        <v>1368</v>
      </c>
      <c r="N79">
        <v>1011</v>
      </c>
      <c r="O79" t="s">
        <v>466</v>
      </c>
      <c r="P79" t="s">
        <v>466</v>
      </c>
      <c r="Q79">
        <v>1</v>
      </c>
      <c r="W79">
        <v>0</v>
      </c>
      <c r="X79">
        <v>1777287797</v>
      </c>
      <c r="Y79">
        <v>0.6875</v>
      </c>
      <c r="AA79">
        <v>0</v>
      </c>
      <c r="AB79">
        <v>0.98</v>
      </c>
      <c r="AC79">
        <v>0</v>
      </c>
      <c r="AD79">
        <v>0</v>
      </c>
      <c r="AE79">
        <v>0</v>
      </c>
      <c r="AF79">
        <v>0.98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0.44</v>
      </c>
      <c r="AU79" t="s">
        <v>139</v>
      </c>
      <c r="AV79">
        <v>0</v>
      </c>
      <c r="AW79">
        <v>2</v>
      </c>
      <c r="AX79">
        <v>51689551</v>
      </c>
      <c r="AY79">
        <v>1</v>
      </c>
      <c r="AZ79">
        <v>0</v>
      </c>
      <c r="BA79">
        <v>76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Y79*Source!I86</f>
        <v>5.5</v>
      </c>
      <c r="CY79">
        <f>AB79</f>
        <v>0.98</v>
      </c>
      <c r="CZ79">
        <f>AF79</f>
        <v>0.98</v>
      </c>
      <c r="DA79">
        <f>AJ79</f>
        <v>1</v>
      </c>
      <c r="DB79">
        <f t="shared" si="0"/>
        <v>0.67</v>
      </c>
      <c r="DC79">
        <f t="shared" si="1"/>
        <v>0</v>
      </c>
    </row>
    <row r="80" spans="1:107" ht="12.75">
      <c r="A80">
        <f>ROW(Source!A86)</f>
        <v>86</v>
      </c>
      <c r="B80">
        <v>51669678</v>
      </c>
      <c r="C80">
        <v>51689525</v>
      </c>
      <c r="D80">
        <v>270774071</v>
      </c>
      <c r="E80">
        <v>1</v>
      </c>
      <c r="F80">
        <v>1</v>
      </c>
      <c r="G80">
        <v>1</v>
      </c>
      <c r="H80">
        <v>2</v>
      </c>
      <c r="I80" t="s">
        <v>479</v>
      </c>
      <c r="J80" t="s">
        <v>480</v>
      </c>
      <c r="K80" t="s">
        <v>481</v>
      </c>
      <c r="L80">
        <v>1368</v>
      </c>
      <c r="N80">
        <v>1011</v>
      </c>
      <c r="O80" t="s">
        <v>466</v>
      </c>
      <c r="P80" t="s">
        <v>466</v>
      </c>
      <c r="Q80">
        <v>1</v>
      </c>
      <c r="W80">
        <v>0</v>
      </c>
      <c r="X80">
        <v>1109194647</v>
      </c>
      <c r="Y80">
        <v>2.390625</v>
      </c>
      <c r="AA80">
        <v>0</v>
      </c>
      <c r="AB80">
        <v>119.95</v>
      </c>
      <c r="AC80">
        <v>20.99</v>
      </c>
      <c r="AD80">
        <v>0</v>
      </c>
      <c r="AE80">
        <v>0</v>
      </c>
      <c r="AF80">
        <v>119.95</v>
      </c>
      <c r="AG80">
        <v>20.99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1.53</v>
      </c>
      <c r="AU80" t="s">
        <v>139</v>
      </c>
      <c r="AV80">
        <v>0</v>
      </c>
      <c r="AW80">
        <v>2</v>
      </c>
      <c r="AX80">
        <v>51689552</v>
      </c>
      <c r="AY80">
        <v>1</v>
      </c>
      <c r="AZ80">
        <v>0</v>
      </c>
      <c r="BA80">
        <v>77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Y80*Source!I86</f>
        <v>19.125</v>
      </c>
      <c r="CY80">
        <f>AB80</f>
        <v>119.95</v>
      </c>
      <c r="CZ80">
        <f>AF80</f>
        <v>119.95</v>
      </c>
      <c r="DA80">
        <f>AJ80</f>
        <v>1</v>
      </c>
      <c r="DB80">
        <f t="shared" si="0"/>
        <v>286.75</v>
      </c>
      <c r="DC80">
        <f t="shared" si="1"/>
        <v>50.17</v>
      </c>
    </row>
    <row r="81" spans="1:107" ht="12.75">
      <c r="A81">
        <f>ROW(Source!A86)</f>
        <v>86</v>
      </c>
      <c r="B81">
        <v>51669678</v>
      </c>
      <c r="C81">
        <v>51689525</v>
      </c>
      <c r="D81">
        <v>270724023</v>
      </c>
      <c r="E81">
        <v>1</v>
      </c>
      <c r="F81">
        <v>1</v>
      </c>
      <c r="G81">
        <v>1</v>
      </c>
      <c r="H81">
        <v>3</v>
      </c>
      <c r="I81" t="s">
        <v>554</v>
      </c>
      <c r="J81" t="s">
        <v>555</v>
      </c>
      <c r="K81" t="s">
        <v>556</v>
      </c>
      <c r="L81">
        <v>1348</v>
      </c>
      <c r="N81">
        <v>1009</v>
      </c>
      <c r="O81" t="s">
        <v>37</v>
      </c>
      <c r="P81" t="s">
        <v>37</v>
      </c>
      <c r="Q81">
        <v>1000</v>
      </c>
      <c r="W81">
        <v>0</v>
      </c>
      <c r="X81">
        <v>-744913905</v>
      </c>
      <c r="Y81">
        <v>0.0112</v>
      </c>
      <c r="AA81">
        <v>13699.83</v>
      </c>
      <c r="AB81">
        <v>0</v>
      </c>
      <c r="AC81">
        <v>0</v>
      </c>
      <c r="AD81">
        <v>0</v>
      </c>
      <c r="AE81">
        <v>13699.83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0.0112</v>
      </c>
      <c r="AV81">
        <v>0</v>
      </c>
      <c r="AW81">
        <v>2</v>
      </c>
      <c r="AX81">
        <v>51689553</v>
      </c>
      <c r="AY81">
        <v>1</v>
      </c>
      <c r="AZ81">
        <v>0</v>
      </c>
      <c r="BA81">
        <v>78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Y81*Source!I86</f>
        <v>0.0896</v>
      </c>
      <c r="CY81">
        <f aca="true" t="shared" si="2" ref="CY81:CY96">AA81</f>
        <v>13699.83</v>
      </c>
      <c r="CZ81">
        <f aca="true" t="shared" si="3" ref="CZ81:CZ96">AE81</f>
        <v>13699.83</v>
      </c>
      <c r="DA81">
        <f aca="true" t="shared" si="4" ref="DA81:DA96">AI81</f>
        <v>1</v>
      </c>
      <c r="DB81">
        <f aca="true" t="shared" si="5" ref="DB81:DB96">ROUND(ROUND(AT81*CZ81,2),2)</f>
        <v>153.44</v>
      </c>
      <c r="DC81">
        <f aca="true" t="shared" si="6" ref="DC81:DC96">ROUND(ROUND(AT81*AG81,2),2)</f>
        <v>0</v>
      </c>
    </row>
    <row r="82" spans="1:107" ht="12.75">
      <c r="A82">
        <f>ROW(Source!A86)</f>
        <v>86</v>
      </c>
      <c r="B82">
        <v>51669678</v>
      </c>
      <c r="C82">
        <v>51689525</v>
      </c>
      <c r="D82">
        <v>270724045</v>
      </c>
      <c r="E82">
        <v>1</v>
      </c>
      <c r="F82">
        <v>1</v>
      </c>
      <c r="G82">
        <v>1</v>
      </c>
      <c r="H82">
        <v>3</v>
      </c>
      <c r="I82" t="s">
        <v>536</v>
      </c>
      <c r="J82" t="s">
        <v>537</v>
      </c>
      <c r="K82" t="s">
        <v>538</v>
      </c>
      <c r="L82">
        <v>1348</v>
      </c>
      <c r="N82">
        <v>1009</v>
      </c>
      <c r="O82" t="s">
        <v>37</v>
      </c>
      <c r="P82" t="s">
        <v>37</v>
      </c>
      <c r="Q82">
        <v>1000</v>
      </c>
      <c r="W82">
        <v>0</v>
      </c>
      <c r="X82">
        <v>770520473</v>
      </c>
      <c r="Y82">
        <v>0.00045</v>
      </c>
      <c r="AA82">
        <v>9465.51</v>
      </c>
      <c r="AB82">
        <v>0</v>
      </c>
      <c r="AC82">
        <v>0</v>
      </c>
      <c r="AD82">
        <v>0</v>
      </c>
      <c r="AE82">
        <v>9465.51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0.00045</v>
      </c>
      <c r="AV82">
        <v>0</v>
      </c>
      <c r="AW82">
        <v>2</v>
      </c>
      <c r="AX82">
        <v>51689554</v>
      </c>
      <c r="AY82">
        <v>1</v>
      </c>
      <c r="AZ82">
        <v>0</v>
      </c>
      <c r="BA82">
        <v>79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Y82*Source!I86</f>
        <v>0.0036</v>
      </c>
      <c r="CY82">
        <f t="shared" si="2"/>
        <v>9465.51</v>
      </c>
      <c r="CZ82">
        <f t="shared" si="3"/>
        <v>9465.51</v>
      </c>
      <c r="DA82">
        <f t="shared" si="4"/>
        <v>1</v>
      </c>
      <c r="DB82">
        <f t="shared" si="5"/>
        <v>4.26</v>
      </c>
      <c r="DC82">
        <f t="shared" si="6"/>
        <v>0</v>
      </c>
    </row>
    <row r="83" spans="1:107" ht="12.75">
      <c r="A83">
        <f>ROW(Source!A86)</f>
        <v>86</v>
      </c>
      <c r="B83">
        <v>51669678</v>
      </c>
      <c r="C83">
        <v>51689525</v>
      </c>
      <c r="D83">
        <v>270719322</v>
      </c>
      <c r="E83">
        <v>1</v>
      </c>
      <c r="F83">
        <v>1</v>
      </c>
      <c r="G83">
        <v>1</v>
      </c>
      <c r="H83">
        <v>3</v>
      </c>
      <c r="I83" t="s">
        <v>557</v>
      </c>
      <c r="J83" t="s">
        <v>558</v>
      </c>
      <c r="K83" t="s">
        <v>559</v>
      </c>
      <c r="L83">
        <v>1348</v>
      </c>
      <c r="N83">
        <v>1009</v>
      </c>
      <c r="O83" t="s">
        <v>37</v>
      </c>
      <c r="P83" t="s">
        <v>37</v>
      </c>
      <c r="Q83">
        <v>1000</v>
      </c>
      <c r="W83">
        <v>0</v>
      </c>
      <c r="X83">
        <v>1468240393</v>
      </c>
      <c r="Y83">
        <v>0.0027</v>
      </c>
      <c r="AA83">
        <v>17010.36</v>
      </c>
      <c r="AB83">
        <v>0</v>
      </c>
      <c r="AC83">
        <v>0</v>
      </c>
      <c r="AD83">
        <v>0</v>
      </c>
      <c r="AE83">
        <v>17010.36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0.0027</v>
      </c>
      <c r="AV83">
        <v>0</v>
      </c>
      <c r="AW83">
        <v>2</v>
      </c>
      <c r="AX83">
        <v>51689555</v>
      </c>
      <c r="AY83">
        <v>1</v>
      </c>
      <c r="AZ83">
        <v>0</v>
      </c>
      <c r="BA83">
        <v>80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Y83*Source!I86</f>
        <v>0.0216</v>
      </c>
      <c r="CY83">
        <f t="shared" si="2"/>
        <v>17010.36</v>
      </c>
      <c r="CZ83">
        <f t="shared" si="3"/>
        <v>17010.36</v>
      </c>
      <c r="DA83">
        <f t="shared" si="4"/>
        <v>1</v>
      </c>
      <c r="DB83">
        <f t="shared" si="5"/>
        <v>45.93</v>
      </c>
      <c r="DC83">
        <f t="shared" si="6"/>
        <v>0</v>
      </c>
    </row>
    <row r="84" spans="1:107" ht="12.75">
      <c r="A84">
        <f>ROW(Source!A86)</f>
        <v>86</v>
      </c>
      <c r="B84">
        <v>51669678</v>
      </c>
      <c r="C84">
        <v>51689525</v>
      </c>
      <c r="D84">
        <v>270724350</v>
      </c>
      <c r="E84">
        <v>1</v>
      </c>
      <c r="F84">
        <v>1</v>
      </c>
      <c r="G84">
        <v>1</v>
      </c>
      <c r="H84">
        <v>3</v>
      </c>
      <c r="I84" t="s">
        <v>560</v>
      </c>
      <c r="J84" t="s">
        <v>561</v>
      </c>
      <c r="K84" t="s">
        <v>562</v>
      </c>
      <c r="L84">
        <v>1355</v>
      </c>
      <c r="N84">
        <v>1010</v>
      </c>
      <c r="O84" t="s">
        <v>224</v>
      </c>
      <c r="P84" t="s">
        <v>224</v>
      </c>
      <c r="Q84">
        <v>100</v>
      </c>
      <c r="W84">
        <v>0</v>
      </c>
      <c r="X84">
        <v>-1915535118</v>
      </c>
      <c r="Y84">
        <v>0.667</v>
      </c>
      <c r="AA84">
        <v>64.2</v>
      </c>
      <c r="AB84">
        <v>0</v>
      </c>
      <c r="AC84">
        <v>0</v>
      </c>
      <c r="AD84">
        <v>0</v>
      </c>
      <c r="AE84">
        <v>64.2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0.667</v>
      </c>
      <c r="AV84">
        <v>0</v>
      </c>
      <c r="AW84">
        <v>2</v>
      </c>
      <c r="AX84">
        <v>51689556</v>
      </c>
      <c r="AY84">
        <v>1</v>
      </c>
      <c r="AZ84">
        <v>0</v>
      </c>
      <c r="BA84">
        <v>81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Y84*Source!I86</f>
        <v>5.336</v>
      </c>
      <c r="CY84">
        <f t="shared" si="2"/>
        <v>64.2</v>
      </c>
      <c r="CZ84">
        <f t="shared" si="3"/>
        <v>64.2</v>
      </c>
      <c r="DA84">
        <f t="shared" si="4"/>
        <v>1</v>
      </c>
      <c r="DB84">
        <f t="shared" si="5"/>
        <v>42.82</v>
      </c>
      <c r="DC84">
        <f t="shared" si="6"/>
        <v>0</v>
      </c>
    </row>
    <row r="85" spans="1:107" ht="12.75">
      <c r="A85">
        <f>ROW(Source!A86)</f>
        <v>86</v>
      </c>
      <c r="B85">
        <v>51669678</v>
      </c>
      <c r="C85">
        <v>51689525</v>
      </c>
      <c r="D85">
        <v>270724349</v>
      </c>
      <c r="E85">
        <v>1</v>
      </c>
      <c r="F85">
        <v>1</v>
      </c>
      <c r="G85">
        <v>1</v>
      </c>
      <c r="H85">
        <v>3</v>
      </c>
      <c r="I85" t="s">
        <v>563</v>
      </c>
      <c r="J85" t="s">
        <v>564</v>
      </c>
      <c r="K85" t="s">
        <v>565</v>
      </c>
      <c r="L85">
        <v>1358</v>
      </c>
      <c r="N85">
        <v>1010</v>
      </c>
      <c r="O85" t="s">
        <v>566</v>
      </c>
      <c r="P85" t="s">
        <v>566</v>
      </c>
      <c r="Q85">
        <v>10</v>
      </c>
      <c r="W85">
        <v>0</v>
      </c>
      <c r="X85">
        <v>970714812</v>
      </c>
      <c r="Y85">
        <v>100.8</v>
      </c>
      <c r="AA85">
        <v>52.13</v>
      </c>
      <c r="AB85">
        <v>0</v>
      </c>
      <c r="AC85">
        <v>0</v>
      </c>
      <c r="AD85">
        <v>0</v>
      </c>
      <c r="AE85">
        <v>52.13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100.8</v>
      </c>
      <c r="AV85">
        <v>0</v>
      </c>
      <c r="AW85">
        <v>2</v>
      </c>
      <c r="AX85">
        <v>51689557</v>
      </c>
      <c r="AY85">
        <v>1</v>
      </c>
      <c r="AZ85">
        <v>0</v>
      </c>
      <c r="BA85">
        <v>82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Y85*Source!I86</f>
        <v>806.4</v>
      </c>
      <c r="CY85">
        <f t="shared" si="2"/>
        <v>52.13</v>
      </c>
      <c r="CZ85">
        <f t="shared" si="3"/>
        <v>52.13</v>
      </c>
      <c r="DA85">
        <f t="shared" si="4"/>
        <v>1</v>
      </c>
      <c r="DB85">
        <f t="shared" si="5"/>
        <v>5254.7</v>
      </c>
      <c r="DC85">
        <f t="shared" si="6"/>
        <v>0</v>
      </c>
    </row>
    <row r="86" spans="1:107" ht="12.75">
      <c r="A86">
        <f>ROW(Source!A86)</f>
        <v>86</v>
      </c>
      <c r="B86">
        <v>51669678</v>
      </c>
      <c r="C86">
        <v>51689525</v>
      </c>
      <c r="D86">
        <v>270723946</v>
      </c>
      <c r="E86">
        <v>1</v>
      </c>
      <c r="F86">
        <v>1</v>
      </c>
      <c r="G86">
        <v>1</v>
      </c>
      <c r="H86">
        <v>3</v>
      </c>
      <c r="I86" t="s">
        <v>567</v>
      </c>
      <c r="J86" t="s">
        <v>568</v>
      </c>
      <c r="K86" t="s">
        <v>569</v>
      </c>
      <c r="L86">
        <v>1348</v>
      </c>
      <c r="N86">
        <v>1009</v>
      </c>
      <c r="O86" t="s">
        <v>37</v>
      </c>
      <c r="P86" t="s">
        <v>37</v>
      </c>
      <c r="Q86">
        <v>1000</v>
      </c>
      <c r="W86">
        <v>0</v>
      </c>
      <c r="X86">
        <v>-788697012</v>
      </c>
      <c r="Y86">
        <v>0.0014</v>
      </c>
      <c r="AA86">
        <v>22364.09</v>
      </c>
      <c r="AB86">
        <v>0</v>
      </c>
      <c r="AC86">
        <v>0</v>
      </c>
      <c r="AD86">
        <v>0</v>
      </c>
      <c r="AE86">
        <v>22364.09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0.0014</v>
      </c>
      <c r="AV86">
        <v>0</v>
      </c>
      <c r="AW86">
        <v>2</v>
      </c>
      <c r="AX86">
        <v>51689558</v>
      </c>
      <c r="AY86">
        <v>1</v>
      </c>
      <c r="AZ86">
        <v>0</v>
      </c>
      <c r="BA86">
        <v>83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Y86*Source!I86</f>
        <v>0.0112</v>
      </c>
      <c r="CY86">
        <f t="shared" si="2"/>
        <v>22364.09</v>
      </c>
      <c r="CZ86">
        <f t="shared" si="3"/>
        <v>22364.09</v>
      </c>
      <c r="DA86">
        <f t="shared" si="4"/>
        <v>1</v>
      </c>
      <c r="DB86">
        <f t="shared" si="5"/>
        <v>31.31</v>
      </c>
      <c r="DC86">
        <f t="shared" si="6"/>
        <v>0</v>
      </c>
    </row>
    <row r="87" spans="1:107" ht="12.75">
      <c r="A87">
        <f>ROW(Source!A86)</f>
        <v>86</v>
      </c>
      <c r="B87">
        <v>51669678</v>
      </c>
      <c r="C87">
        <v>51689525</v>
      </c>
      <c r="D87">
        <v>270717462</v>
      </c>
      <c r="E87">
        <v>1</v>
      </c>
      <c r="F87">
        <v>1</v>
      </c>
      <c r="G87">
        <v>1</v>
      </c>
      <c r="H87">
        <v>3</v>
      </c>
      <c r="I87" t="s">
        <v>570</v>
      </c>
      <c r="J87" t="s">
        <v>571</v>
      </c>
      <c r="K87" t="s">
        <v>572</v>
      </c>
      <c r="L87">
        <v>1296</v>
      </c>
      <c r="N87">
        <v>1002</v>
      </c>
      <c r="O87" t="s">
        <v>573</v>
      </c>
      <c r="P87" t="s">
        <v>573</v>
      </c>
      <c r="Q87">
        <v>1</v>
      </c>
      <c r="W87">
        <v>0</v>
      </c>
      <c r="X87">
        <v>819700321</v>
      </c>
      <c r="Y87">
        <v>0.75</v>
      </c>
      <c r="AA87">
        <v>68.43</v>
      </c>
      <c r="AB87">
        <v>0</v>
      </c>
      <c r="AC87">
        <v>0</v>
      </c>
      <c r="AD87">
        <v>0</v>
      </c>
      <c r="AE87">
        <v>68.43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0.75</v>
      </c>
      <c r="AV87">
        <v>0</v>
      </c>
      <c r="AW87">
        <v>2</v>
      </c>
      <c r="AX87">
        <v>51689559</v>
      </c>
      <c r="AY87">
        <v>1</v>
      </c>
      <c r="AZ87">
        <v>0</v>
      </c>
      <c r="BA87">
        <v>84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Y87*Source!I86</f>
        <v>6</v>
      </c>
      <c r="CY87">
        <f t="shared" si="2"/>
        <v>68.43</v>
      </c>
      <c r="CZ87">
        <f t="shared" si="3"/>
        <v>68.43</v>
      </c>
      <c r="DA87">
        <f t="shared" si="4"/>
        <v>1</v>
      </c>
      <c r="DB87">
        <f t="shared" si="5"/>
        <v>51.32</v>
      </c>
      <c r="DC87">
        <f t="shared" si="6"/>
        <v>0</v>
      </c>
    </row>
    <row r="88" spans="1:107" ht="12.75">
      <c r="A88">
        <f>ROW(Source!A86)</f>
        <v>86</v>
      </c>
      <c r="B88">
        <v>51669678</v>
      </c>
      <c r="C88">
        <v>51689525</v>
      </c>
      <c r="D88">
        <v>270718010</v>
      </c>
      <c r="E88">
        <v>1</v>
      </c>
      <c r="F88">
        <v>1</v>
      </c>
      <c r="G88">
        <v>1</v>
      </c>
      <c r="H88">
        <v>3</v>
      </c>
      <c r="I88" t="s">
        <v>574</v>
      </c>
      <c r="J88" t="s">
        <v>575</v>
      </c>
      <c r="K88" t="s">
        <v>576</v>
      </c>
      <c r="L88">
        <v>36015243</v>
      </c>
      <c r="N88">
        <v>1005</v>
      </c>
      <c r="O88" t="s">
        <v>182</v>
      </c>
      <c r="P88" t="s">
        <v>184</v>
      </c>
      <c r="Q88">
        <v>1</v>
      </c>
      <c r="W88">
        <v>0</v>
      </c>
      <c r="X88">
        <v>-610017884</v>
      </c>
      <c r="Y88">
        <v>3.62</v>
      </c>
      <c r="AA88">
        <v>6.91</v>
      </c>
      <c r="AB88">
        <v>0</v>
      </c>
      <c r="AC88">
        <v>0</v>
      </c>
      <c r="AD88">
        <v>0</v>
      </c>
      <c r="AE88">
        <v>6.91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3.62</v>
      </c>
      <c r="AV88">
        <v>0</v>
      </c>
      <c r="AW88">
        <v>2</v>
      </c>
      <c r="AX88">
        <v>51689560</v>
      </c>
      <c r="AY88">
        <v>1</v>
      </c>
      <c r="AZ88">
        <v>0</v>
      </c>
      <c r="BA88">
        <v>85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Y88*Source!I86</f>
        <v>28.96</v>
      </c>
      <c r="CY88">
        <f t="shared" si="2"/>
        <v>6.91</v>
      </c>
      <c r="CZ88">
        <f t="shared" si="3"/>
        <v>6.91</v>
      </c>
      <c r="DA88">
        <f t="shared" si="4"/>
        <v>1</v>
      </c>
      <c r="DB88">
        <f t="shared" si="5"/>
        <v>25.01</v>
      </c>
      <c r="DC88">
        <f t="shared" si="6"/>
        <v>0</v>
      </c>
    </row>
    <row r="89" spans="1:107" ht="12.75">
      <c r="A89">
        <f>ROW(Source!A86)</f>
        <v>86</v>
      </c>
      <c r="B89">
        <v>51669678</v>
      </c>
      <c r="C89">
        <v>51689525</v>
      </c>
      <c r="D89">
        <v>270717963</v>
      </c>
      <c r="E89">
        <v>1</v>
      </c>
      <c r="F89">
        <v>1</v>
      </c>
      <c r="G89">
        <v>1</v>
      </c>
      <c r="H89">
        <v>3</v>
      </c>
      <c r="I89" t="s">
        <v>577</v>
      </c>
      <c r="J89" t="s">
        <v>578</v>
      </c>
      <c r="K89" t="s">
        <v>579</v>
      </c>
      <c r="L89">
        <v>36015243</v>
      </c>
      <c r="N89">
        <v>1005</v>
      </c>
      <c r="O89" t="s">
        <v>182</v>
      </c>
      <c r="P89" t="s">
        <v>184</v>
      </c>
      <c r="Q89">
        <v>1</v>
      </c>
      <c r="W89">
        <v>0</v>
      </c>
      <c r="X89">
        <v>105503674</v>
      </c>
      <c r="Y89">
        <v>116</v>
      </c>
      <c r="AA89">
        <v>11.03</v>
      </c>
      <c r="AB89">
        <v>0</v>
      </c>
      <c r="AC89">
        <v>0</v>
      </c>
      <c r="AD89">
        <v>0</v>
      </c>
      <c r="AE89">
        <v>11.03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116</v>
      </c>
      <c r="AV89">
        <v>0</v>
      </c>
      <c r="AW89">
        <v>2</v>
      </c>
      <c r="AX89">
        <v>51689561</v>
      </c>
      <c r="AY89">
        <v>1</v>
      </c>
      <c r="AZ89">
        <v>0</v>
      </c>
      <c r="BA89">
        <v>86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Y89*Source!I86</f>
        <v>928</v>
      </c>
      <c r="CY89">
        <f t="shared" si="2"/>
        <v>11.03</v>
      </c>
      <c r="CZ89">
        <f t="shared" si="3"/>
        <v>11.03</v>
      </c>
      <c r="DA89">
        <f t="shared" si="4"/>
        <v>1</v>
      </c>
      <c r="DB89">
        <f t="shared" si="5"/>
        <v>1279.48</v>
      </c>
      <c r="DC89">
        <f t="shared" si="6"/>
        <v>0</v>
      </c>
    </row>
    <row r="90" spans="1:107" ht="12.75">
      <c r="A90">
        <f>ROW(Source!A86)</f>
        <v>86</v>
      </c>
      <c r="B90">
        <v>51669678</v>
      </c>
      <c r="C90">
        <v>51689525</v>
      </c>
      <c r="D90">
        <v>270722943</v>
      </c>
      <c r="E90">
        <v>1</v>
      </c>
      <c r="F90">
        <v>1</v>
      </c>
      <c r="G90">
        <v>1</v>
      </c>
      <c r="H90">
        <v>3</v>
      </c>
      <c r="I90" t="s">
        <v>580</v>
      </c>
      <c r="J90" t="s">
        <v>581</v>
      </c>
      <c r="K90" t="s">
        <v>582</v>
      </c>
      <c r="L90">
        <v>36015243</v>
      </c>
      <c r="N90">
        <v>1005</v>
      </c>
      <c r="O90" t="s">
        <v>182</v>
      </c>
      <c r="P90" t="s">
        <v>184</v>
      </c>
      <c r="Q90">
        <v>1</v>
      </c>
      <c r="W90">
        <v>0</v>
      </c>
      <c r="X90">
        <v>1261305601</v>
      </c>
      <c r="Y90">
        <v>126</v>
      </c>
      <c r="AA90">
        <v>62.82</v>
      </c>
      <c r="AB90">
        <v>0</v>
      </c>
      <c r="AC90">
        <v>0</v>
      </c>
      <c r="AD90">
        <v>0</v>
      </c>
      <c r="AE90">
        <v>62.82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126</v>
      </c>
      <c r="AV90">
        <v>0</v>
      </c>
      <c r="AW90">
        <v>2</v>
      </c>
      <c r="AX90">
        <v>51689562</v>
      </c>
      <c r="AY90">
        <v>1</v>
      </c>
      <c r="AZ90">
        <v>0</v>
      </c>
      <c r="BA90">
        <v>87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Y90*Source!I86</f>
        <v>1008</v>
      </c>
      <c r="CY90">
        <f t="shared" si="2"/>
        <v>62.82</v>
      </c>
      <c r="CZ90">
        <f t="shared" si="3"/>
        <v>62.82</v>
      </c>
      <c r="DA90">
        <f t="shared" si="4"/>
        <v>1</v>
      </c>
      <c r="DB90">
        <f t="shared" si="5"/>
        <v>7915.32</v>
      </c>
      <c r="DC90">
        <f t="shared" si="6"/>
        <v>0</v>
      </c>
    </row>
    <row r="91" spans="1:107" ht="12.75">
      <c r="A91">
        <f>ROW(Source!A86)</f>
        <v>86</v>
      </c>
      <c r="B91">
        <v>51669678</v>
      </c>
      <c r="C91">
        <v>51689525</v>
      </c>
      <c r="D91">
        <v>270725241</v>
      </c>
      <c r="E91">
        <v>1</v>
      </c>
      <c r="F91">
        <v>1</v>
      </c>
      <c r="G91">
        <v>1</v>
      </c>
      <c r="H91">
        <v>3</v>
      </c>
      <c r="I91" t="s">
        <v>583</v>
      </c>
      <c r="J91" t="s">
        <v>584</v>
      </c>
      <c r="K91" t="s">
        <v>585</v>
      </c>
      <c r="L91">
        <v>1339</v>
      </c>
      <c r="N91">
        <v>1007</v>
      </c>
      <c r="O91" t="s">
        <v>149</v>
      </c>
      <c r="P91" t="s">
        <v>149</v>
      </c>
      <c r="Q91">
        <v>1</v>
      </c>
      <c r="W91">
        <v>0</v>
      </c>
      <c r="X91">
        <v>200654651</v>
      </c>
      <c r="Y91">
        <v>1.47</v>
      </c>
      <c r="AA91">
        <v>2587.28</v>
      </c>
      <c r="AB91">
        <v>0</v>
      </c>
      <c r="AC91">
        <v>0</v>
      </c>
      <c r="AD91">
        <v>0</v>
      </c>
      <c r="AE91">
        <v>2587.28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1.47</v>
      </c>
      <c r="AV91">
        <v>0</v>
      </c>
      <c r="AW91">
        <v>2</v>
      </c>
      <c r="AX91">
        <v>51689564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Y91*Source!I86</f>
        <v>11.76</v>
      </c>
      <c r="CY91">
        <f t="shared" si="2"/>
        <v>2587.28</v>
      </c>
      <c r="CZ91">
        <f t="shared" si="3"/>
        <v>2587.28</v>
      </c>
      <c r="DA91">
        <f t="shared" si="4"/>
        <v>1</v>
      </c>
      <c r="DB91">
        <f t="shared" si="5"/>
        <v>3803.3</v>
      </c>
      <c r="DC91">
        <f t="shared" si="6"/>
        <v>0</v>
      </c>
    </row>
    <row r="92" spans="1:107" ht="12.75">
      <c r="A92">
        <f>ROW(Source!A86)</f>
        <v>86</v>
      </c>
      <c r="B92">
        <v>51669678</v>
      </c>
      <c r="C92">
        <v>51689525</v>
      </c>
      <c r="D92">
        <v>270725083</v>
      </c>
      <c r="E92">
        <v>1</v>
      </c>
      <c r="F92">
        <v>1</v>
      </c>
      <c r="G92">
        <v>1</v>
      </c>
      <c r="H92">
        <v>3</v>
      </c>
      <c r="I92" t="s">
        <v>586</v>
      </c>
      <c r="J92" t="s">
        <v>587</v>
      </c>
      <c r="K92" t="s">
        <v>588</v>
      </c>
      <c r="L92">
        <v>1339</v>
      </c>
      <c r="N92">
        <v>1007</v>
      </c>
      <c r="O92" t="s">
        <v>149</v>
      </c>
      <c r="P92" t="s">
        <v>149</v>
      </c>
      <c r="Q92">
        <v>1</v>
      </c>
      <c r="W92">
        <v>0</v>
      </c>
      <c r="X92">
        <v>1894286437</v>
      </c>
      <c r="Y92">
        <v>0.46</v>
      </c>
      <c r="AA92">
        <v>1983.12</v>
      </c>
      <c r="AB92">
        <v>0</v>
      </c>
      <c r="AC92">
        <v>0</v>
      </c>
      <c r="AD92">
        <v>0</v>
      </c>
      <c r="AE92">
        <v>1983.12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0.46</v>
      </c>
      <c r="AV92">
        <v>0</v>
      </c>
      <c r="AW92">
        <v>2</v>
      </c>
      <c r="AX92">
        <v>51689565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Y92*Source!I86</f>
        <v>3.68</v>
      </c>
      <c r="CY92">
        <f t="shared" si="2"/>
        <v>1983.12</v>
      </c>
      <c r="CZ92">
        <f t="shared" si="3"/>
        <v>1983.12</v>
      </c>
      <c r="DA92">
        <f t="shared" si="4"/>
        <v>1</v>
      </c>
      <c r="DB92">
        <f t="shared" si="5"/>
        <v>912.24</v>
      </c>
      <c r="DC92">
        <f t="shared" si="6"/>
        <v>0</v>
      </c>
    </row>
    <row r="93" spans="1:107" ht="12.75">
      <c r="A93">
        <f>ROW(Source!A86)</f>
        <v>86</v>
      </c>
      <c r="B93">
        <v>51669678</v>
      </c>
      <c r="C93">
        <v>51689525</v>
      </c>
      <c r="D93">
        <v>270728278</v>
      </c>
      <c r="E93">
        <v>1</v>
      </c>
      <c r="F93">
        <v>1</v>
      </c>
      <c r="G93">
        <v>1</v>
      </c>
      <c r="H93">
        <v>3</v>
      </c>
      <c r="I93" t="s">
        <v>589</v>
      </c>
      <c r="J93" t="s">
        <v>590</v>
      </c>
      <c r="K93" t="s">
        <v>591</v>
      </c>
      <c r="L93">
        <v>1339</v>
      </c>
      <c r="N93">
        <v>1007</v>
      </c>
      <c r="O93" t="s">
        <v>149</v>
      </c>
      <c r="P93" t="s">
        <v>149</v>
      </c>
      <c r="Q93">
        <v>1</v>
      </c>
      <c r="W93">
        <v>0</v>
      </c>
      <c r="X93">
        <v>429547616</v>
      </c>
      <c r="Y93">
        <v>0.31</v>
      </c>
      <c r="AA93">
        <v>311.33</v>
      </c>
      <c r="AB93">
        <v>0</v>
      </c>
      <c r="AC93">
        <v>0</v>
      </c>
      <c r="AD93">
        <v>0</v>
      </c>
      <c r="AE93">
        <v>311.33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0.31</v>
      </c>
      <c r="AV93">
        <v>0</v>
      </c>
      <c r="AW93">
        <v>2</v>
      </c>
      <c r="AX93">
        <v>51689566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Y93*Source!I86</f>
        <v>2.48</v>
      </c>
      <c r="CY93">
        <f t="shared" si="2"/>
        <v>311.33</v>
      </c>
      <c r="CZ93">
        <f t="shared" si="3"/>
        <v>311.33</v>
      </c>
      <c r="DA93">
        <f t="shared" si="4"/>
        <v>1</v>
      </c>
      <c r="DB93">
        <f t="shared" si="5"/>
        <v>96.51</v>
      </c>
      <c r="DC93">
        <f t="shared" si="6"/>
        <v>0</v>
      </c>
    </row>
    <row r="94" spans="1:107" ht="12.75">
      <c r="A94">
        <f>ROW(Source!A86)</f>
        <v>86</v>
      </c>
      <c r="B94">
        <v>51669678</v>
      </c>
      <c r="C94">
        <v>51689525</v>
      </c>
      <c r="D94">
        <v>0</v>
      </c>
      <c r="E94">
        <v>1</v>
      </c>
      <c r="F94">
        <v>1</v>
      </c>
      <c r="G94">
        <v>1</v>
      </c>
      <c r="H94">
        <v>3</v>
      </c>
      <c r="I94" t="s">
        <v>200</v>
      </c>
      <c r="K94" t="s">
        <v>201</v>
      </c>
      <c r="L94">
        <v>1354</v>
      </c>
      <c r="N94">
        <v>1010</v>
      </c>
      <c r="O94" t="s">
        <v>202</v>
      </c>
      <c r="P94" t="s">
        <v>202</v>
      </c>
      <c r="Q94">
        <v>1</v>
      </c>
      <c r="W94">
        <v>0</v>
      </c>
      <c r="X94">
        <v>1639412660</v>
      </c>
      <c r="Y94">
        <v>5.5</v>
      </c>
      <c r="AA94">
        <v>437.5</v>
      </c>
      <c r="AB94">
        <v>0</v>
      </c>
      <c r="AC94">
        <v>0</v>
      </c>
      <c r="AD94">
        <v>0</v>
      </c>
      <c r="AE94">
        <v>437.5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5.5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Y94*Source!I86</f>
        <v>44</v>
      </c>
      <c r="CY94">
        <f t="shared" si="2"/>
        <v>437.5</v>
      </c>
      <c r="CZ94">
        <f t="shared" si="3"/>
        <v>437.5</v>
      </c>
      <c r="DA94">
        <f t="shared" si="4"/>
        <v>1</v>
      </c>
      <c r="DB94">
        <f t="shared" si="5"/>
        <v>2406.25</v>
      </c>
      <c r="DC94">
        <f t="shared" si="6"/>
        <v>0</v>
      </c>
    </row>
    <row r="95" spans="1:107" ht="12.75">
      <c r="A95">
        <f>ROW(Source!A86)</f>
        <v>86</v>
      </c>
      <c r="B95">
        <v>51669678</v>
      </c>
      <c r="C95">
        <v>51689525</v>
      </c>
      <c r="D95">
        <v>0</v>
      </c>
      <c r="E95">
        <v>1</v>
      </c>
      <c r="F95">
        <v>1</v>
      </c>
      <c r="G95">
        <v>1</v>
      </c>
      <c r="H95">
        <v>3</v>
      </c>
      <c r="I95" t="s">
        <v>200</v>
      </c>
      <c r="K95" t="s">
        <v>208</v>
      </c>
      <c r="L95">
        <v>1354</v>
      </c>
      <c r="N95">
        <v>1010</v>
      </c>
      <c r="O95" t="s">
        <v>202</v>
      </c>
      <c r="P95" t="s">
        <v>202</v>
      </c>
      <c r="Q95">
        <v>1</v>
      </c>
      <c r="W95">
        <v>0</v>
      </c>
      <c r="X95">
        <v>-83094837</v>
      </c>
      <c r="Y95">
        <v>8.25</v>
      </c>
      <c r="AA95">
        <v>266.67</v>
      </c>
      <c r="AB95">
        <v>0</v>
      </c>
      <c r="AC95">
        <v>0</v>
      </c>
      <c r="AD95">
        <v>0</v>
      </c>
      <c r="AE95">
        <v>266.67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T95">
        <v>8.25</v>
      </c>
      <c r="AV95">
        <v>0</v>
      </c>
      <c r="AW95">
        <v>1</v>
      </c>
      <c r="AX95">
        <v>-1</v>
      </c>
      <c r="AY95">
        <v>0</v>
      </c>
      <c r="AZ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Y95*Source!I86</f>
        <v>66</v>
      </c>
      <c r="CY95">
        <f t="shared" si="2"/>
        <v>266.67</v>
      </c>
      <c r="CZ95">
        <f t="shared" si="3"/>
        <v>266.67</v>
      </c>
      <c r="DA95">
        <f t="shared" si="4"/>
        <v>1</v>
      </c>
      <c r="DB95">
        <f t="shared" si="5"/>
        <v>2200.03</v>
      </c>
      <c r="DC95">
        <f t="shared" si="6"/>
        <v>0</v>
      </c>
    </row>
    <row r="96" spans="1:107" ht="12.75">
      <c r="A96">
        <f>ROW(Source!A86)</f>
        <v>86</v>
      </c>
      <c r="B96">
        <v>51669678</v>
      </c>
      <c r="C96">
        <v>51689525</v>
      </c>
      <c r="D96">
        <v>0</v>
      </c>
      <c r="E96">
        <v>1</v>
      </c>
      <c r="F96">
        <v>1</v>
      </c>
      <c r="G96">
        <v>1</v>
      </c>
      <c r="H96">
        <v>3</v>
      </c>
      <c r="I96" t="s">
        <v>200</v>
      </c>
      <c r="K96" t="s">
        <v>211</v>
      </c>
      <c r="L96">
        <v>1301</v>
      </c>
      <c r="N96">
        <v>1003</v>
      </c>
      <c r="O96" t="s">
        <v>212</v>
      </c>
      <c r="P96" t="s">
        <v>212</v>
      </c>
      <c r="Q96">
        <v>1</v>
      </c>
      <c r="W96">
        <v>0</v>
      </c>
      <c r="X96">
        <v>1354884828</v>
      </c>
      <c r="Y96">
        <v>0.25</v>
      </c>
      <c r="AA96">
        <v>1916.67</v>
      </c>
      <c r="AB96">
        <v>0</v>
      </c>
      <c r="AC96">
        <v>0</v>
      </c>
      <c r="AD96">
        <v>0</v>
      </c>
      <c r="AE96">
        <v>1916.67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0.25</v>
      </c>
      <c r="AV96">
        <v>0</v>
      </c>
      <c r="AW96">
        <v>1</v>
      </c>
      <c r="AX96">
        <v>-1</v>
      </c>
      <c r="AY96">
        <v>0</v>
      </c>
      <c r="AZ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Y96*Source!I86</f>
        <v>2</v>
      </c>
      <c r="CY96">
        <f t="shared" si="2"/>
        <v>1916.67</v>
      </c>
      <c r="CZ96">
        <f t="shared" si="3"/>
        <v>1916.67</v>
      </c>
      <c r="DA96">
        <f t="shared" si="4"/>
        <v>1</v>
      </c>
      <c r="DB96">
        <f t="shared" si="5"/>
        <v>479.17</v>
      </c>
      <c r="DC96">
        <f t="shared" si="6"/>
        <v>0</v>
      </c>
    </row>
    <row r="97" spans="1:107" ht="12.75">
      <c r="A97">
        <f>ROW(Source!A90)</f>
        <v>90</v>
      </c>
      <c r="B97">
        <v>51669678</v>
      </c>
      <c r="C97">
        <v>51688869</v>
      </c>
      <c r="D97">
        <v>202542696</v>
      </c>
      <c r="E97">
        <v>1</v>
      </c>
      <c r="F97">
        <v>1</v>
      </c>
      <c r="G97">
        <v>1</v>
      </c>
      <c r="H97">
        <v>1</v>
      </c>
      <c r="I97" t="s">
        <v>592</v>
      </c>
      <c r="K97" t="s">
        <v>593</v>
      </c>
      <c r="L97">
        <v>1369</v>
      </c>
      <c r="N97">
        <v>1013</v>
      </c>
      <c r="O97" t="s">
        <v>462</v>
      </c>
      <c r="P97" t="s">
        <v>462</v>
      </c>
      <c r="Q97">
        <v>1</v>
      </c>
      <c r="W97">
        <v>0</v>
      </c>
      <c r="X97">
        <v>2022976546</v>
      </c>
      <c r="Y97">
        <v>88.54999999999998</v>
      </c>
      <c r="AA97">
        <v>0</v>
      </c>
      <c r="AB97">
        <v>0</v>
      </c>
      <c r="AC97">
        <v>0</v>
      </c>
      <c r="AD97">
        <v>18.8</v>
      </c>
      <c r="AE97">
        <v>0</v>
      </c>
      <c r="AF97">
        <v>0</v>
      </c>
      <c r="AG97">
        <v>0</v>
      </c>
      <c r="AH97">
        <v>18.8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61.6</v>
      </c>
      <c r="AU97" t="s">
        <v>140</v>
      </c>
      <c r="AV97">
        <v>1</v>
      </c>
      <c r="AW97">
        <v>2</v>
      </c>
      <c r="AX97">
        <v>51688881</v>
      </c>
      <c r="AY97">
        <v>1</v>
      </c>
      <c r="AZ97">
        <v>0</v>
      </c>
      <c r="BA97">
        <v>92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Y97*Source!I90</f>
        <v>37.19099999999999</v>
      </c>
      <c r="CY97">
        <f>AD97</f>
        <v>18.8</v>
      </c>
      <c r="CZ97">
        <f>AH97</f>
        <v>18.8</v>
      </c>
      <c r="DA97">
        <f>AL97</f>
        <v>1</v>
      </c>
      <c r="DB97">
        <f>ROUND(((ROUND(AT97*CZ97,2)*1.15)*1.25),2)</f>
        <v>1664.74</v>
      </c>
      <c r="DC97">
        <f>ROUND(((ROUND(AT97*AG97,2)*1.15)*1.25),2)</f>
        <v>0</v>
      </c>
    </row>
    <row r="98" spans="1:107" ht="12.75">
      <c r="A98">
        <f>ROW(Source!A90)</f>
        <v>90</v>
      </c>
      <c r="B98">
        <v>51669678</v>
      </c>
      <c r="C98">
        <v>51688869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26</v>
      </c>
      <c r="K98" t="s">
        <v>469</v>
      </c>
      <c r="L98">
        <v>608254</v>
      </c>
      <c r="N98">
        <v>1013</v>
      </c>
      <c r="O98" t="s">
        <v>470</v>
      </c>
      <c r="P98" t="s">
        <v>470</v>
      </c>
      <c r="Q98">
        <v>1</v>
      </c>
      <c r="W98">
        <v>0</v>
      </c>
      <c r="X98">
        <v>-185737400</v>
      </c>
      <c r="Y98">
        <v>0.078125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0.05</v>
      </c>
      <c r="AU98" t="s">
        <v>139</v>
      </c>
      <c r="AV98">
        <v>2</v>
      </c>
      <c r="AW98">
        <v>2</v>
      </c>
      <c r="AX98">
        <v>51688882</v>
      </c>
      <c r="AY98">
        <v>1</v>
      </c>
      <c r="AZ98">
        <v>0</v>
      </c>
      <c r="BA98">
        <v>93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Y98*Source!I90</f>
        <v>0.0328125</v>
      </c>
      <c r="CY98">
        <f>AD98</f>
        <v>0</v>
      </c>
      <c r="CZ98">
        <f>AH98</f>
        <v>0</v>
      </c>
      <c r="DA98">
        <f>AL98</f>
        <v>1</v>
      </c>
      <c r="DB98">
        <f>ROUND(((ROUND(AT98*CZ98,2)*1.25)*1.25),2)</f>
        <v>0</v>
      </c>
      <c r="DC98">
        <f>ROUND(((ROUND(AT98*AG98,2)*1.25)*1.25),2)</f>
        <v>0</v>
      </c>
    </row>
    <row r="99" spans="1:107" ht="12.75">
      <c r="A99">
        <f>ROW(Source!A90)</f>
        <v>90</v>
      </c>
      <c r="B99">
        <v>51669678</v>
      </c>
      <c r="C99">
        <v>51688869</v>
      </c>
      <c r="D99">
        <v>270771356</v>
      </c>
      <c r="E99">
        <v>1</v>
      </c>
      <c r="F99">
        <v>1</v>
      </c>
      <c r="G99">
        <v>1</v>
      </c>
      <c r="H99">
        <v>2</v>
      </c>
      <c r="I99" t="s">
        <v>471</v>
      </c>
      <c r="J99" t="s">
        <v>472</v>
      </c>
      <c r="K99" t="s">
        <v>473</v>
      </c>
      <c r="L99">
        <v>1368</v>
      </c>
      <c r="N99">
        <v>1011</v>
      </c>
      <c r="O99" t="s">
        <v>466</v>
      </c>
      <c r="P99" t="s">
        <v>466</v>
      </c>
      <c r="Q99">
        <v>1</v>
      </c>
      <c r="W99">
        <v>0</v>
      </c>
      <c r="X99">
        <v>-435889032</v>
      </c>
      <c r="Y99">
        <v>0.046875</v>
      </c>
      <c r="AA99">
        <v>0</v>
      </c>
      <c r="AB99">
        <v>98.9</v>
      </c>
      <c r="AC99">
        <v>24.53</v>
      </c>
      <c r="AD99">
        <v>0</v>
      </c>
      <c r="AE99">
        <v>0</v>
      </c>
      <c r="AF99">
        <v>98.9</v>
      </c>
      <c r="AG99">
        <v>24.53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0.03</v>
      </c>
      <c r="AU99" t="s">
        <v>139</v>
      </c>
      <c r="AV99">
        <v>0</v>
      </c>
      <c r="AW99">
        <v>2</v>
      </c>
      <c r="AX99">
        <v>51688883</v>
      </c>
      <c r="AY99">
        <v>1</v>
      </c>
      <c r="AZ99">
        <v>0</v>
      </c>
      <c r="BA99">
        <v>94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Y99*Source!I90</f>
        <v>0.0196875</v>
      </c>
      <c r="CY99">
        <f>AB99</f>
        <v>98.9</v>
      </c>
      <c r="CZ99">
        <f>AF99</f>
        <v>98.9</v>
      </c>
      <c r="DA99">
        <f>AJ99</f>
        <v>1</v>
      </c>
      <c r="DB99">
        <f>ROUND(((ROUND(AT99*CZ99,2)*1.25)*1.25),2)</f>
        <v>4.64</v>
      </c>
      <c r="DC99">
        <f>ROUND(((ROUND(AT99*AG99,2)*1.25)*1.25),2)</f>
        <v>1.16</v>
      </c>
    </row>
    <row r="100" spans="1:107" ht="12.75">
      <c r="A100">
        <f>ROW(Source!A90)</f>
        <v>90</v>
      </c>
      <c r="B100">
        <v>51669678</v>
      </c>
      <c r="C100">
        <v>51688869</v>
      </c>
      <c r="D100">
        <v>270771467</v>
      </c>
      <c r="E100">
        <v>1</v>
      </c>
      <c r="F100">
        <v>1</v>
      </c>
      <c r="G100">
        <v>1</v>
      </c>
      <c r="H100">
        <v>2</v>
      </c>
      <c r="I100" t="s">
        <v>476</v>
      </c>
      <c r="J100" t="s">
        <v>477</v>
      </c>
      <c r="K100" t="s">
        <v>478</v>
      </c>
      <c r="L100">
        <v>1368</v>
      </c>
      <c r="N100">
        <v>1011</v>
      </c>
      <c r="O100" t="s">
        <v>466</v>
      </c>
      <c r="P100" t="s">
        <v>466</v>
      </c>
      <c r="Q100">
        <v>1</v>
      </c>
      <c r="W100">
        <v>0</v>
      </c>
      <c r="X100">
        <v>1617131323</v>
      </c>
      <c r="Y100">
        <v>0.03125</v>
      </c>
      <c r="AA100">
        <v>0</v>
      </c>
      <c r="AB100">
        <v>125.73</v>
      </c>
      <c r="AC100">
        <v>24.53</v>
      </c>
      <c r="AD100">
        <v>0</v>
      </c>
      <c r="AE100">
        <v>0</v>
      </c>
      <c r="AF100">
        <v>125.73</v>
      </c>
      <c r="AG100">
        <v>24.53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0.02</v>
      </c>
      <c r="AU100" t="s">
        <v>139</v>
      </c>
      <c r="AV100">
        <v>0</v>
      </c>
      <c r="AW100">
        <v>2</v>
      </c>
      <c r="AX100">
        <v>51688884</v>
      </c>
      <c r="AY100">
        <v>1</v>
      </c>
      <c r="AZ100">
        <v>0</v>
      </c>
      <c r="BA100">
        <v>95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Y100*Source!I90</f>
        <v>0.013125</v>
      </c>
      <c r="CY100">
        <f>AB100</f>
        <v>125.73</v>
      </c>
      <c r="CZ100">
        <f>AF100</f>
        <v>125.73</v>
      </c>
      <c r="DA100">
        <f>AJ100</f>
        <v>1</v>
      </c>
      <c r="DB100">
        <f>ROUND(((ROUND(AT100*CZ100,2)*1.25)*1.25),2)</f>
        <v>3.92</v>
      </c>
      <c r="DC100">
        <f>ROUND(((ROUND(AT100*AG100,2)*1.25)*1.25),2)</f>
        <v>0.77</v>
      </c>
    </row>
    <row r="101" spans="1:107" ht="12.75">
      <c r="A101">
        <f>ROW(Source!A90)</f>
        <v>90</v>
      </c>
      <c r="B101">
        <v>51669678</v>
      </c>
      <c r="C101">
        <v>51688869</v>
      </c>
      <c r="D101">
        <v>270774071</v>
      </c>
      <c r="E101">
        <v>1</v>
      </c>
      <c r="F101">
        <v>1</v>
      </c>
      <c r="G101">
        <v>1</v>
      </c>
      <c r="H101">
        <v>2</v>
      </c>
      <c r="I101" t="s">
        <v>479</v>
      </c>
      <c r="J101" t="s">
        <v>480</v>
      </c>
      <c r="K101" t="s">
        <v>481</v>
      </c>
      <c r="L101">
        <v>1368</v>
      </c>
      <c r="N101">
        <v>1011</v>
      </c>
      <c r="O101" t="s">
        <v>466</v>
      </c>
      <c r="P101" t="s">
        <v>466</v>
      </c>
      <c r="Q101">
        <v>1</v>
      </c>
      <c r="W101">
        <v>0</v>
      </c>
      <c r="X101">
        <v>1109194647</v>
      </c>
      <c r="Y101">
        <v>0.03125</v>
      </c>
      <c r="AA101">
        <v>0</v>
      </c>
      <c r="AB101">
        <v>119.95</v>
      </c>
      <c r="AC101">
        <v>20.99</v>
      </c>
      <c r="AD101">
        <v>0</v>
      </c>
      <c r="AE101">
        <v>0</v>
      </c>
      <c r="AF101">
        <v>119.95</v>
      </c>
      <c r="AG101">
        <v>20.99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0.02</v>
      </c>
      <c r="AU101" t="s">
        <v>139</v>
      </c>
      <c r="AV101">
        <v>0</v>
      </c>
      <c r="AW101">
        <v>2</v>
      </c>
      <c r="AX101">
        <v>51688885</v>
      </c>
      <c r="AY101">
        <v>1</v>
      </c>
      <c r="AZ101">
        <v>0</v>
      </c>
      <c r="BA101">
        <v>96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Y101*Source!I90</f>
        <v>0.013125</v>
      </c>
      <c r="CY101">
        <f>AB101</f>
        <v>119.95</v>
      </c>
      <c r="CZ101">
        <f>AF101</f>
        <v>119.95</v>
      </c>
      <c r="DA101">
        <f>AJ101</f>
        <v>1</v>
      </c>
      <c r="DB101">
        <f>ROUND(((ROUND(AT101*CZ101,2)*1.25)*1.25),2)</f>
        <v>3.75</v>
      </c>
      <c r="DC101">
        <f>ROUND(((ROUND(AT101*AG101,2)*1.25)*1.25),2)</f>
        <v>0.66</v>
      </c>
    </row>
    <row r="102" spans="1:107" ht="12.75">
      <c r="A102">
        <f>ROW(Source!A90)</f>
        <v>90</v>
      </c>
      <c r="B102">
        <v>51669678</v>
      </c>
      <c r="C102">
        <v>51688869</v>
      </c>
      <c r="D102">
        <v>270718994</v>
      </c>
      <c r="E102">
        <v>1</v>
      </c>
      <c r="F102">
        <v>1</v>
      </c>
      <c r="G102">
        <v>1</v>
      </c>
      <c r="H102">
        <v>3</v>
      </c>
      <c r="I102" t="s">
        <v>594</v>
      </c>
      <c r="J102" t="s">
        <v>595</v>
      </c>
      <c r="K102" t="s">
        <v>596</v>
      </c>
      <c r="L102">
        <v>1346</v>
      </c>
      <c r="N102">
        <v>1009</v>
      </c>
      <c r="O102" t="s">
        <v>597</v>
      </c>
      <c r="P102" t="s">
        <v>597</v>
      </c>
      <c r="Q102">
        <v>1</v>
      </c>
      <c r="W102">
        <v>0</v>
      </c>
      <c r="X102">
        <v>998184294</v>
      </c>
      <c r="Y102">
        <v>4</v>
      </c>
      <c r="AA102">
        <v>21.76</v>
      </c>
      <c r="AB102">
        <v>0</v>
      </c>
      <c r="AC102">
        <v>0</v>
      </c>
      <c r="AD102">
        <v>0</v>
      </c>
      <c r="AE102">
        <v>21.76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4</v>
      </c>
      <c r="AV102">
        <v>0</v>
      </c>
      <c r="AW102">
        <v>2</v>
      </c>
      <c r="AX102">
        <v>51688886</v>
      </c>
      <c r="AY102">
        <v>1</v>
      </c>
      <c r="AZ102">
        <v>0</v>
      </c>
      <c r="BA102">
        <v>97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Y102*Source!I90</f>
        <v>1.68</v>
      </c>
      <c r="CY102">
        <f aca="true" t="shared" si="7" ref="CY102:CY107">AA102</f>
        <v>21.76</v>
      </c>
      <c r="CZ102">
        <f aca="true" t="shared" si="8" ref="CZ102:CZ107">AE102</f>
        <v>21.76</v>
      </c>
      <c r="DA102">
        <f aca="true" t="shared" si="9" ref="DA102:DA107">AI102</f>
        <v>1</v>
      </c>
      <c r="DB102">
        <f aca="true" t="shared" si="10" ref="DB102:DB107">ROUND(ROUND(AT102*CZ102,2),2)</f>
        <v>87.04</v>
      </c>
      <c r="DC102">
        <f aca="true" t="shared" si="11" ref="DC102:DC107">ROUND(ROUND(AT102*AG102,2),2)</f>
        <v>0</v>
      </c>
    </row>
    <row r="103" spans="1:107" ht="12.75">
      <c r="A103">
        <f>ROW(Source!A90)</f>
        <v>90</v>
      </c>
      <c r="B103">
        <v>51669678</v>
      </c>
      <c r="C103">
        <v>51688869</v>
      </c>
      <c r="D103">
        <v>270723892</v>
      </c>
      <c r="E103">
        <v>1</v>
      </c>
      <c r="F103">
        <v>1</v>
      </c>
      <c r="G103">
        <v>1</v>
      </c>
      <c r="H103">
        <v>3</v>
      </c>
      <c r="I103" t="s">
        <v>598</v>
      </c>
      <c r="J103" t="s">
        <v>599</v>
      </c>
      <c r="K103" t="s">
        <v>600</v>
      </c>
      <c r="L103">
        <v>1348</v>
      </c>
      <c r="N103">
        <v>1009</v>
      </c>
      <c r="O103" t="s">
        <v>37</v>
      </c>
      <c r="P103" t="s">
        <v>37</v>
      </c>
      <c r="Q103">
        <v>1000</v>
      </c>
      <c r="W103">
        <v>0</v>
      </c>
      <c r="X103">
        <v>1822846037</v>
      </c>
      <c r="Y103">
        <v>0.00266</v>
      </c>
      <c r="AA103">
        <v>20724.92</v>
      </c>
      <c r="AB103">
        <v>0</v>
      </c>
      <c r="AC103">
        <v>0</v>
      </c>
      <c r="AD103">
        <v>0</v>
      </c>
      <c r="AE103">
        <v>20724.92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0.00266</v>
      </c>
      <c r="AV103">
        <v>0</v>
      </c>
      <c r="AW103">
        <v>2</v>
      </c>
      <c r="AX103">
        <v>51688887</v>
      </c>
      <c r="AY103">
        <v>1</v>
      </c>
      <c r="AZ103">
        <v>0</v>
      </c>
      <c r="BA103">
        <v>98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Y103*Source!I90</f>
        <v>0.0011172</v>
      </c>
      <c r="CY103">
        <f t="shared" si="7"/>
        <v>20724.92</v>
      </c>
      <c r="CZ103">
        <f t="shared" si="8"/>
        <v>20724.92</v>
      </c>
      <c r="DA103">
        <f t="shared" si="9"/>
        <v>1</v>
      </c>
      <c r="DB103">
        <f t="shared" si="10"/>
        <v>55.13</v>
      </c>
      <c r="DC103">
        <f t="shared" si="11"/>
        <v>0</v>
      </c>
    </row>
    <row r="104" spans="1:107" ht="12.75">
      <c r="A104">
        <f>ROW(Source!A90)</f>
        <v>90</v>
      </c>
      <c r="B104">
        <v>51669678</v>
      </c>
      <c r="C104">
        <v>51688869</v>
      </c>
      <c r="D104">
        <v>270748965</v>
      </c>
      <c r="E104">
        <v>1</v>
      </c>
      <c r="F104">
        <v>1</v>
      </c>
      <c r="G104">
        <v>1</v>
      </c>
      <c r="H104">
        <v>3</v>
      </c>
      <c r="I104" t="s">
        <v>601</v>
      </c>
      <c r="J104" t="s">
        <v>602</v>
      </c>
      <c r="K104" t="s">
        <v>603</v>
      </c>
      <c r="L104">
        <v>1301</v>
      </c>
      <c r="N104">
        <v>1003</v>
      </c>
      <c r="O104" t="s">
        <v>212</v>
      </c>
      <c r="P104" t="s">
        <v>212</v>
      </c>
      <c r="Q104">
        <v>1</v>
      </c>
      <c r="W104">
        <v>0</v>
      </c>
      <c r="X104">
        <v>-1668497566</v>
      </c>
      <c r="Y104">
        <v>99.8</v>
      </c>
      <c r="AA104">
        <v>62.72</v>
      </c>
      <c r="AB104">
        <v>0</v>
      </c>
      <c r="AC104">
        <v>0</v>
      </c>
      <c r="AD104">
        <v>0</v>
      </c>
      <c r="AE104">
        <v>62.72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99.8</v>
      </c>
      <c r="AV104">
        <v>0</v>
      </c>
      <c r="AW104">
        <v>2</v>
      </c>
      <c r="AX104">
        <v>51688889</v>
      </c>
      <c r="AY104">
        <v>1</v>
      </c>
      <c r="AZ104">
        <v>0</v>
      </c>
      <c r="BA104">
        <v>100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Y104*Source!I90</f>
        <v>41.916</v>
      </c>
      <c r="CY104">
        <f t="shared" si="7"/>
        <v>62.72</v>
      </c>
      <c r="CZ104">
        <f t="shared" si="8"/>
        <v>62.72</v>
      </c>
      <c r="DA104">
        <f t="shared" si="9"/>
        <v>1</v>
      </c>
      <c r="DB104">
        <f t="shared" si="10"/>
        <v>6259.46</v>
      </c>
      <c r="DC104">
        <f t="shared" si="11"/>
        <v>0</v>
      </c>
    </row>
    <row r="105" spans="1:107" ht="12.75">
      <c r="A105">
        <f>ROW(Source!A90)</f>
        <v>90</v>
      </c>
      <c r="B105">
        <v>51669678</v>
      </c>
      <c r="C105">
        <v>51688869</v>
      </c>
      <c r="D105">
        <v>270705963</v>
      </c>
      <c r="E105">
        <v>1</v>
      </c>
      <c r="F105">
        <v>1</v>
      </c>
      <c r="G105">
        <v>1</v>
      </c>
      <c r="H105">
        <v>3</v>
      </c>
      <c r="I105" t="s">
        <v>503</v>
      </c>
      <c r="J105" t="s">
        <v>504</v>
      </c>
      <c r="K105" t="s">
        <v>505</v>
      </c>
      <c r="L105">
        <v>1339</v>
      </c>
      <c r="N105">
        <v>1007</v>
      </c>
      <c r="O105" t="s">
        <v>149</v>
      </c>
      <c r="P105" t="s">
        <v>149</v>
      </c>
      <c r="Q105">
        <v>1</v>
      </c>
      <c r="W105">
        <v>0</v>
      </c>
      <c r="X105">
        <v>-1544397134</v>
      </c>
      <c r="Y105">
        <v>1.57</v>
      </c>
      <c r="AA105">
        <v>2.16</v>
      </c>
      <c r="AB105">
        <v>0</v>
      </c>
      <c r="AC105">
        <v>0</v>
      </c>
      <c r="AD105">
        <v>0</v>
      </c>
      <c r="AE105">
        <v>2.16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1.57</v>
      </c>
      <c r="AV105">
        <v>0</v>
      </c>
      <c r="AW105">
        <v>2</v>
      </c>
      <c r="AX105">
        <v>51688891</v>
      </c>
      <c r="AY105">
        <v>1</v>
      </c>
      <c r="AZ105">
        <v>0</v>
      </c>
      <c r="BA105">
        <v>102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Y105*Source!I90</f>
        <v>0.6594</v>
      </c>
      <c r="CY105">
        <f t="shared" si="7"/>
        <v>2.16</v>
      </c>
      <c r="CZ105">
        <f t="shared" si="8"/>
        <v>2.16</v>
      </c>
      <c r="DA105">
        <f t="shared" si="9"/>
        <v>1</v>
      </c>
      <c r="DB105">
        <f t="shared" si="10"/>
        <v>3.39</v>
      </c>
      <c r="DC105">
        <f t="shared" si="11"/>
        <v>0</v>
      </c>
    </row>
    <row r="106" spans="1:107" ht="12.75">
      <c r="A106">
        <f>ROW(Source!A90)</f>
        <v>90</v>
      </c>
      <c r="B106">
        <v>51669678</v>
      </c>
      <c r="C106">
        <v>51688869</v>
      </c>
      <c r="D106">
        <v>270762960</v>
      </c>
      <c r="E106">
        <v>1</v>
      </c>
      <c r="F106">
        <v>1</v>
      </c>
      <c r="G106">
        <v>1</v>
      </c>
      <c r="H106">
        <v>3</v>
      </c>
      <c r="I106" t="s">
        <v>222</v>
      </c>
      <c r="J106" t="s">
        <v>225</v>
      </c>
      <c r="K106" t="s">
        <v>223</v>
      </c>
      <c r="L106">
        <v>1355</v>
      </c>
      <c r="N106">
        <v>1010</v>
      </c>
      <c r="O106" t="s">
        <v>224</v>
      </c>
      <c r="P106" t="s">
        <v>224</v>
      </c>
      <c r="Q106">
        <v>100</v>
      </c>
      <c r="W106">
        <v>0</v>
      </c>
      <c r="X106">
        <v>-518661194</v>
      </c>
      <c r="Y106">
        <v>1</v>
      </c>
      <c r="AA106">
        <v>2120.4</v>
      </c>
      <c r="AB106">
        <v>0</v>
      </c>
      <c r="AC106">
        <v>0</v>
      </c>
      <c r="AD106">
        <v>0</v>
      </c>
      <c r="AE106">
        <v>120</v>
      </c>
      <c r="AF106">
        <v>0</v>
      </c>
      <c r="AG106">
        <v>0</v>
      </c>
      <c r="AH106">
        <v>0</v>
      </c>
      <c r="AI106">
        <v>17.67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T106">
        <v>1</v>
      </c>
      <c r="AV106">
        <v>0</v>
      </c>
      <c r="AW106">
        <v>1</v>
      </c>
      <c r="AX106">
        <v>-1</v>
      </c>
      <c r="AY106">
        <v>0</v>
      </c>
      <c r="AZ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Y106*Source!I90</f>
        <v>0.42</v>
      </c>
      <c r="CY106">
        <f t="shared" si="7"/>
        <v>2120.4</v>
      </c>
      <c r="CZ106">
        <f t="shared" si="8"/>
        <v>120</v>
      </c>
      <c r="DA106">
        <f t="shared" si="9"/>
        <v>17.67</v>
      </c>
      <c r="DB106">
        <f t="shared" si="10"/>
        <v>120</v>
      </c>
      <c r="DC106">
        <f t="shared" si="11"/>
        <v>0</v>
      </c>
    </row>
    <row r="107" spans="1:107" ht="12.75">
      <c r="A107">
        <f>ROW(Source!A90)</f>
        <v>90</v>
      </c>
      <c r="B107">
        <v>51669678</v>
      </c>
      <c r="C107">
        <v>51688869</v>
      </c>
      <c r="D107">
        <v>0</v>
      </c>
      <c r="E107">
        <v>1</v>
      </c>
      <c r="F107">
        <v>1</v>
      </c>
      <c r="G107">
        <v>1</v>
      </c>
      <c r="H107">
        <v>3</v>
      </c>
      <c r="I107" t="s">
        <v>200</v>
      </c>
      <c r="K107" t="s">
        <v>227</v>
      </c>
      <c r="L107">
        <v>3677</v>
      </c>
      <c r="N107">
        <v>1010</v>
      </c>
      <c r="O107" t="s">
        <v>202</v>
      </c>
      <c r="P107" t="s">
        <v>228</v>
      </c>
      <c r="Q107">
        <v>1</v>
      </c>
      <c r="W107">
        <v>0</v>
      </c>
      <c r="X107">
        <v>-127812041</v>
      </c>
      <c r="Y107">
        <v>28.571429</v>
      </c>
      <c r="AA107">
        <v>1833.33</v>
      </c>
      <c r="AB107">
        <v>0</v>
      </c>
      <c r="AC107">
        <v>0</v>
      </c>
      <c r="AD107">
        <v>0</v>
      </c>
      <c r="AE107">
        <v>1833.33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T107">
        <v>28.571429</v>
      </c>
      <c r="AV107">
        <v>0</v>
      </c>
      <c r="AW107">
        <v>1</v>
      </c>
      <c r="AX107">
        <v>-1</v>
      </c>
      <c r="AY107">
        <v>0</v>
      </c>
      <c r="AZ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Y107*Source!I90</f>
        <v>12.000000179999999</v>
      </c>
      <c r="CY107">
        <f t="shared" si="7"/>
        <v>1833.33</v>
      </c>
      <c r="CZ107">
        <f t="shared" si="8"/>
        <v>1833.33</v>
      </c>
      <c r="DA107">
        <f t="shared" si="9"/>
        <v>1</v>
      </c>
      <c r="DB107">
        <f t="shared" si="10"/>
        <v>52380.86</v>
      </c>
      <c r="DC107">
        <f t="shared" si="11"/>
        <v>0</v>
      </c>
    </row>
    <row r="108" spans="1:107" ht="12.75">
      <c r="A108">
        <f>ROW(Source!A93)</f>
        <v>93</v>
      </c>
      <c r="B108">
        <v>51669678</v>
      </c>
      <c r="C108">
        <v>51688894</v>
      </c>
      <c r="D108">
        <v>202548993</v>
      </c>
      <c r="E108">
        <v>1</v>
      </c>
      <c r="F108">
        <v>1</v>
      </c>
      <c r="G108">
        <v>1</v>
      </c>
      <c r="H108">
        <v>1</v>
      </c>
      <c r="I108" t="s">
        <v>474</v>
      </c>
      <c r="K108" t="s">
        <v>475</v>
      </c>
      <c r="L108">
        <v>1369</v>
      </c>
      <c r="N108">
        <v>1013</v>
      </c>
      <c r="O108" t="s">
        <v>462</v>
      </c>
      <c r="P108" t="s">
        <v>462</v>
      </c>
      <c r="Q108">
        <v>1</v>
      </c>
      <c r="W108">
        <v>0</v>
      </c>
      <c r="X108">
        <v>888074361</v>
      </c>
      <c r="Y108">
        <v>205.5625</v>
      </c>
      <c r="AA108">
        <v>0</v>
      </c>
      <c r="AB108">
        <v>0</v>
      </c>
      <c r="AC108">
        <v>0</v>
      </c>
      <c r="AD108">
        <v>16.17</v>
      </c>
      <c r="AE108">
        <v>0</v>
      </c>
      <c r="AF108">
        <v>0</v>
      </c>
      <c r="AG108">
        <v>0</v>
      </c>
      <c r="AH108">
        <v>16.17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143</v>
      </c>
      <c r="AU108" t="s">
        <v>140</v>
      </c>
      <c r="AV108">
        <v>1</v>
      </c>
      <c r="AW108">
        <v>2</v>
      </c>
      <c r="AX108">
        <v>51688902</v>
      </c>
      <c r="AY108">
        <v>1</v>
      </c>
      <c r="AZ108">
        <v>0</v>
      </c>
      <c r="BA108">
        <v>103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Y108*Source!I93</f>
        <v>37.00125</v>
      </c>
      <c r="CY108">
        <f>AD108</f>
        <v>16.17</v>
      </c>
      <c r="CZ108">
        <f>AH108</f>
        <v>16.17</v>
      </c>
      <c r="DA108">
        <f>AL108</f>
        <v>1</v>
      </c>
      <c r="DB108">
        <f>ROUND(((ROUND(AT108*CZ108,2)*1.15)*1.25),2)</f>
        <v>3323.95</v>
      </c>
      <c r="DC108">
        <f>ROUND(((ROUND(AT108*AG108,2)*1.15)*1.25),2)</f>
        <v>0</v>
      </c>
    </row>
    <row r="109" spans="1:107" ht="12.75">
      <c r="A109">
        <f>ROW(Source!A93)</f>
        <v>93</v>
      </c>
      <c r="B109">
        <v>51669678</v>
      </c>
      <c r="C109">
        <v>51688894</v>
      </c>
      <c r="D109">
        <v>270773735</v>
      </c>
      <c r="E109">
        <v>1</v>
      </c>
      <c r="F109">
        <v>1</v>
      </c>
      <c r="G109">
        <v>1</v>
      </c>
      <c r="H109">
        <v>2</v>
      </c>
      <c r="I109" t="s">
        <v>551</v>
      </c>
      <c r="J109" t="s">
        <v>552</v>
      </c>
      <c r="K109" t="s">
        <v>553</v>
      </c>
      <c r="L109">
        <v>1368</v>
      </c>
      <c r="N109">
        <v>1011</v>
      </c>
      <c r="O109" t="s">
        <v>466</v>
      </c>
      <c r="P109" t="s">
        <v>466</v>
      </c>
      <c r="Q109">
        <v>1</v>
      </c>
      <c r="W109">
        <v>0</v>
      </c>
      <c r="X109">
        <v>1777287797</v>
      </c>
      <c r="Y109">
        <v>2.234375</v>
      </c>
      <c r="AA109">
        <v>0</v>
      </c>
      <c r="AB109">
        <v>0.98</v>
      </c>
      <c r="AC109">
        <v>0</v>
      </c>
      <c r="AD109">
        <v>0</v>
      </c>
      <c r="AE109">
        <v>0</v>
      </c>
      <c r="AF109">
        <v>0.98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1.43</v>
      </c>
      <c r="AU109" t="s">
        <v>139</v>
      </c>
      <c r="AV109">
        <v>0</v>
      </c>
      <c r="AW109">
        <v>2</v>
      </c>
      <c r="AX109">
        <v>51688903</v>
      </c>
      <c r="AY109">
        <v>1</v>
      </c>
      <c r="AZ109">
        <v>0</v>
      </c>
      <c r="BA109">
        <v>104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Y109*Source!I93</f>
        <v>0.4021875</v>
      </c>
      <c r="CY109">
        <f>AB109</f>
        <v>0.98</v>
      </c>
      <c r="CZ109">
        <f>AF109</f>
        <v>0.98</v>
      </c>
      <c r="DA109">
        <f>AJ109</f>
        <v>1</v>
      </c>
      <c r="DB109">
        <f>ROUND(((ROUND(AT109*CZ109,2)*1.25)*1.25),2)</f>
        <v>2.19</v>
      </c>
      <c r="DC109">
        <f>ROUND(((ROUND(AT109*AG109,2)*1.25)*1.25),2)</f>
        <v>0</v>
      </c>
    </row>
    <row r="110" spans="1:107" ht="12.75">
      <c r="A110">
        <f>ROW(Source!A93)</f>
        <v>93</v>
      </c>
      <c r="B110">
        <v>51669678</v>
      </c>
      <c r="C110">
        <v>51688894</v>
      </c>
      <c r="D110">
        <v>270774071</v>
      </c>
      <c r="E110">
        <v>1</v>
      </c>
      <c r="F110">
        <v>1</v>
      </c>
      <c r="G110">
        <v>1</v>
      </c>
      <c r="H110">
        <v>2</v>
      </c>
      <c r="I110" t="s">
        <v>479</v>
      </c>
      <c r="J110" t="s">
        <v>480</v>
      </c>
      <c r="K110" t="s">
        <v>481</v>
      </c>
      <c r="L110">
        <v>1368</v>
      </c>
      <c r="N110">
        <v>1011</v>
      </c>
      <c r="O110" t="s">
        <v>466</v>
      </c>
      <c r="P110" t="s">
        <v>466</v>
      </c>
      <c r="Q110">
        <v>1</v>
      </c>
      <c r="W110">
        <v>0</v>
      </c>
      <c r="X110">
        <v>1109194647</v>
      </c>
      <c r="Y110">
        <v>1.40625</v>
      </c>
      <c r="AA110">
        <v>0</v>
      </c>
      <c r="AB110">
        <v>119.95</v>
      </c>
      <c r="AC110">
        <v>20.99</v>
      </c>
      <c r="AD110">
        <v>0</v>
      </c>
      <c r="AE110">
        <v>0</v>
      </c>
      <c r="AF110">
        <v>119.95</v>
      </c>
      <c r="AG110">
        <v>20.99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0.9</v>
      </c>
      <c r="AU110" t="s">
        <v>139</v>
      </c>
      <c r="AV110">
        <v>0</v>
      </c>
      <c r="AW110">
        <v>2</v>
      </c>
      <c r="AX110">
        <v>51688904</v>
      </c>
      <c r="AY110">
        <v>1</v>
      </c>
      <c r="AZ110">
        <v>0</v>
      </c>
      <c r="BA110">
        <v>105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Y110*Source!I93</f>
        <v>0.253125</v>
      </c>
      <c r="CY110">
        <f>AB110</f>
        <v>119.95</v>
      </c>
      <c r="CZ110">
        <f>AF110</f>
        <v>119.95</v>
      </c>
      <c r="DA110">
        <f>AJ110</f>
        <v>1</v>
      </c>
      <c r="DB110">
        <f>ROUND(((ROUND(AT110*CZ110,2)*1.25)*1.25),2)</f>
        <v>168.69</v>
      </c>
      <c r="DC110">
        <f>ROUND(((ROUND(AT110*AG110,2)*1.25)*1.25),2)</f>
        <v>29.52</v>
      </c>
    </row>
    <row r="111" spans="1:107" ht="12.75">
      <c r="A111">
        <f>ROW(Source!A93)</f>
        <v>93</v>
      </c>
      <c r="B111">
        <v>51669678</v>
      </c>
      <c r="C111">
        <v>51688894</v>
      </c>
      <c r="D111">
        <v>270723982</v>
      </c>
      <c r="E111">
        <v>1</v>
      </c>
      <c r="F111">
        <v>1</v>
      </c>
      <c r="G111">
        <v>1</v>
      </c>
      <c r="H111">
        <v>3</v>
      </c>
      <c r="I111" t="s">
        <v>488</v>
      </c>
      <c r="J111" t="s">
        <v>489</v>
      </c>
      <c r="K111" t="s">
        <v>490</v>
      </c>
      <c r="L111">
        <v>1348</v>
      </c>
      <c r="N111">
        <v>1009</v>
      </c>
      <c r="O111" t="s">
        <v>37</v>
      </c>
      <c r="P111" t="s">
        <v>37</v>
      </c>
      <c r="Q111">
        <v>1000</v>
      </c>
      <c r="W111">
        <v>0</v>
      </c>
      <c r="X111">
        <v>-806456486</v>
      </c>
      <c r="Y111">
        <v>0.0036</v>
      </c>
      <c r="AA111">
        <v>10672.41</v>
      </c>
      <c r="AB111">
        <v>0</v>
      </c>
      <c r="AC111">
        <v>0</v>
      </c>
      <c r="AD111">
        <v>0</v>
      </c>
      <c r="AE111">
        <v>10672.41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0.0036</v>
      </c>
      <c r="AV111">
        <v>0</v>
      </c>
      <c r="AW111">
        <v>2</v>
      </c>
      <c r="AX111">
        <v>51688905</v>
      </c>
      <c r="AY111">
        <v>1</v>
      </c>
      <c r="AZ111">
        <v>0</v>
      </c>
      <c r="BA111">
        <v>106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Y111*Source!I93</f>
        <v>0.0006479999999999999</v>
      </c>
      <c r="CY111">
        <f>AA111</f>
        <v>10672.41</v>
      </c>
      <c r="CZ111">
        <f>AE111</f>
        <v>10672.41</v>
      </c>
      <c r="DA111">
        <f>AI111</f>
        <v>1</v>
      </c>
      <c r="DB111">
        <f>ROUND(ROUND(AT111*CZ111,2),2)</f>
        <v>38.42</v>
      </c>
      <c r="DC111">
        <f>ROUND(ROUND(AT111*AG111,2),2)</f>
        <v>0</v>
      </c>
    </row>
    <row r="112" spans="1:107" ht="12.75">
      <c r="A112">
        <f>ROW(Source!A93)</f>
        <v>93</v>
      </c>
      <c r="B112">
        <v>51669678</v>
      </c>
      <c r="C112">
        <v>51688894</v>
      </c>
      <c r="D112">
        <v>270725251</v>
      </c>
      <c r="E112">
        <v>1</v>
      </c>
      <c r="F112">
        <v>1</v>
      </c>
      <c r="G112">
        <v>1</v>
      </c>
      <c r="H112">
        <v>3</v>
      </c>
      <c r="I112" t="s">
        <v>604</v>
      </c>
      <c r="J112" t="s">
        <v>605</v>
      </c>
      <c r="K112" t="s">
        <v>606</v>
      </c>
      <c r="L112">
        <v>1339</v>
      </c>
      <c r="N112">
        <v>1007</v>
      </c>
      <c r="O112" t="s">
        <v>149</v>
      </c>
      <c r="P112" t="s">
        <v>149</v>
      </c>
      <c r="Q112">
        <v>1</v>
      </c>
      <c r="W112">
        <v>0</v>
      </c>
      <c r="X112">
        <v>-81071594</v>
      </c>
      <c r="Y112">
        <v>0.58</v>
      </c>
      <c r="AA112">
        <v>1602.98</v>
      </c>
      <c r="AB112">
        <v>0</v>
      </c>
      <c r="AC112">
        <v>0</v>
      </c>
      <c r="AD112">
        <v>0</v>
      </c>
      <c r="AE112">
        <v>1602.98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0.58</v>
      </c>
      <c r="AV112">
        <v>0</v>
      </c>
      <c r="AW112">
        <v>2</v>
      </c>
      <c r="AX112">
        <v>51688906</v>
      </c>
      <c r="AY112">
        <v>1</v>
      </c>
      <c r="AZ112">
        <v>0</v>
      </c>
      <c r="BA112">
        <v>107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Y112*Source!I93</f>
        <v>0.10439999999999999</v>
      </c>
      <c r="CY112">
        <f>AA112</f>
        <v>1602.98</v>
      </c>
      <c r="CZ112">
        <f>AE112</f>
        <v>1602.98</v>
      </c>
      <c r="DA112">
        <f>AI112</f>
        <v>1</v>
      </c>
      <c r="DB112">
        <f>ROUND(ROUND(AT112*CZ112,2),2)</f>
        <v>929.73</v>
      </c>
      <c r="DC112">
        <f>ROUND(ROUND(AT112*AG112,2),2)</f>
        <v>0</v>
      </c>
    </row>
    <row r="113" spans="1:107" ht="12.75">
      <c r="A113">
        <f>ROW(Source!A93)</f>
        <v>93</v>
      </c>
      <c r="B113">
        <v>51669678</v>
      </c>
      <c r="C113">
        <v>51688894</v>
      </c>
      <c r="D113">
        <v>270725263</v>
      </c>
      <c r="E113">
        <v>1</v>
      </c>
      <c r="F113">
        <v>1</v>
      </c>
      <c r="G113">
        <v>1</v>
      </c>
      <c r="H113">
        <v>3</v>
      </c>
      <c r="I113" t="s">
        <v>607</v>
      </c>
      <c r="J113" t="s">
        <v>608</v>
      </c>
      <c r="K113" t="s">
        <v>609</v>
      </c>
      <c r="L113">
        <v>1339</v>
      </c>
      <c r="N113">
        <v>1007</v>
      </c>
      <c r="O113" t="s">
        <v>149</v>
      </c>
      <c r="P113" t="s">
        <v>149</v>
      </c>
      <c r="Q113">
        <v>1</v>
      </c>
      <c r="W113">
        <v>0</v>
      </c>
      <c r="X113">
        <v>-472396422</v>
      </c>
      <c r="Y113">
        <v>0.92</v>
      </c>
      <c r="AA113">
        <v>1979.06</v>
      </c>
      <c r="AB113">
        <v>0</v>
      </c>
      <c r="AC113">
        <v>0</v>
      </c>
      <c r="AD113">
        <v>0</v>
      </c>
      <c r="AE113">
        <v>1979.06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0.92</v>
      </c>
      <c r="AV113">
        <v>0</v>
      </c>
      <c r="AW113">
        <v>2</v>
      </c>
      <c r="AX113">
        <v>51688907</v>
      </c>
      <c r="AY113">
        <v>1</v>
      </c>
      <c r="AZ113">
        <v>0</v>
      </c>
      <c r="BA113">
        <v>108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Y113*Source!I93</f>
        <v>0.1656</v>
      </c>
      <c r="CY113">
        <f>AA113</f>
        <v>1979.06</v>
      </c>
      <c r="CZ113">
        <f>AE113</f>
        <v>1979.06</v>
      </c>
      <c r="DA113">
        <f>AI113</f>
        <v>1</v>
      </c>
      <c r="DB113">
        <f>ROUND(ROUND(AT113*CZ113,2),2)</f>
        <v>1820.74</v>
      </c>
      <c r="DC113">
        <f>ROUND(ROUND(AT113*AG113,2),2)</f>
        <v>0</v>
      </c>
    </row>
    <row r="114" spans="1:107" ht="12.75">
      <c r="A114">
        <f>ROW(Source!A93)</f>
        <v>93</v>
      </c>
      <c r="B114">
        <v>51669678</v>
      </c>
      <c r="C114">
        <v>51688894</v>
      </c>
      <c r="D114">
        <v>270713033</v>
      </c>
      <c r="E114">
        <v>1</v>
      </c>
      <c r="F114">
        <v>1</v>
      </c>
      <c r="G114">
        <v>1</v>
      </c>
      <c r="H114">
        <v>3</v>
      </c>
      <c r="I114" t="s">
        <v>610</v>
      </c>
      <c r="J114" t="s">
        <v>611</v>
      </c>
      <c r="K114" t="s">
        <v>612</v>
      </c>
      <c r="L114">
        <v>1339</v>
      </c>
      <c r="N114">
        <v>1007</v>
      </c>
      <c r="O114" t="s">
        <v>149</v>
      </c>
      <c r="P114" t="s">
        <v>149</v>
      </c>
      <c r="Q114">
        <v>1</v>
      </c>
      <c r="W114">
        <v>0</v>
      </c>
      <c r="X114">
        <v>-321955881</v>
      </c>
      <c r="Y114">
        <v>1.06</v>
      </c>
      <c r="AA114">
        <v>3091.68</v>
      </c>
      <c r="AB114">
        <v>0</v>
      </c>
      <c r="AC114">
        <v>0</v>
      </c>
      <c r="AD114">
        <v>0</v>
      </c>
      <c r="AE114">
        <v>3091.68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1.06</v>
      </c>
      <c r="AV114">
        <v>0</v>
      </c>
      <c r="AW114">
        <v>2</v>
      </c>
      <c r="AX114">
        <v>51688908</v>
      </c>
      <c r="AY114">
        <v>1</v>
      </c>
      <c r="AZ114">
        <v>0</v>
      </c>
      <c r="BA114">
        <v>109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Y114*Source!I93</f>
        <v>0.1908</v>
      </c>
      <c r="CY114">
        <f>AA114</f>
        <v>3091.68</v>
      </c>
      <c r="CZ114">
        <f>AE114</f>
        <v>3091.68</v>
      </c>
      <c r="DA114">
        <f>AI114</f>
        <v>1</v>
      </c>
      <c r="DB114">
        <f>ROUND(ROUND(AT114*CZ114,2),2)</f>
        <v>3277.18</v>
      </c>
      <c r="DC114">
        <f>ROUND(ROUND(AT114*AG114,2),2)</f>
        <v>0</v>
      </c>
    </row>
    <row r="115" spans="1:107" ht="12.75">
      <c r="A115">
        <f>ROW(Source!A94)</f>
        <v>94</v>
      </c>
      <c r="B115">
        <v>51669678</v>
      </c>
      <c r="C115">
        <v>51688993</v>
      </c>
      <c r="D115">
        <v>202545148</v>
      </c>
      <c r="E115">
        <v>1</v>
      </c>
      <c r="F115">
        <v>1</v>
      </c>
      <c r="G115">
        <v>1</v>
      </c>
      <c r="H115">
        <v>1</v>
      </c>
      <c r="I115" t="s">
        <v>613</v>
      </c>
      <c r="K115" t="s">
        <v>614</v>
      </c>
      <c r="L115">
        <v>1369</v>
      </c>
      <c r="N115">
        <v>1013</v>
      </c>
      <c r="O115" t="s">
        <v>462</v>
      </c>
      <c r="P115" t="s">
        <v>462</v>
      </c>
      <c r="Q115">
        <v>1</v>
      </c>
      <c r="W115">
        <v>0</v>
      </c>
      <c r="X115">
        <v>-259709279</v>
      </c>
      <c r="Y115">
        <v>9.588125</v>
      </c>
      <c r="AA115">
        <v>0</v>
      </c>
      <c r="AB115">
        <v>0</v>
      </c>
      <c r="AC115">
        <v>0</v>
      </c>
      <c r="AD115">
        <v>16.79</v>
      </c>
      <c r="AE115">
        <v>0</v>
      </c>
      <c r="AF115">
        <v>0</v>
      </c>
      <c r="AG115">
        <v>0</v>
      </c>
      <c r="AH115">
        <v>16.79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6.67</v>
      </c>
      <c r="AU115" t="s">
        <v>519</v>
      </c>
      <c r="AV115">
        <v>1</v>
      </c>
      <c r="AW115">
        <v>2</v>
      </c>
      <c r="AX115">
        <v>51689004</v>
      </c>
      <c r="AY115">
        <v>1</v>
      </c>
      <c r="AZ115">
        <v>0</v>
      </c>
      <c r="BA115">
        <v>110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6.711687499999999</v>
      </c>
      <c r="CY115">
        <f>AD115</f>
        <v>16.79</v>
      </c>
      <c r="CZ115">
        <f>AH115</f>
        <v>16.79</v>
      </c>
      <c r="DA115">
        <f>AL115</f>
        <v>1</v>
      </c>
      <c r="DB115">
        <f>ROUND(((ROUND(AT115*CZ115,2)*1.15)*1.25),2)</f>
        <v>160.99</v>
      </c>
      <c r="DC115">
        <f>ROUND(((ROUND(AT115*AG115,2)*1.15)*1.25),2)</f>
        <v>0</v>
      </c>
    </row>
    <row r="116" spans="1:107" ht="12.75">
      <c r="A116">
        <f>ROW(Source!A94)</f>
        <v>94</v>
      </c>
      <c r="B116">
        <v>51669678</v>
      </c>
      <c r="C116">
        <v>51688993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26</v>
      </c>
      <c r="K116" t="s">
        <v>469</v>
      </c>
      <c r="L116">
        <v>608254</v>
      </c>
      <c r="N116">
        <v>1013</v>
      </c>
      <c r="O116" t="s">
        <v>470</v>
      </c>
      <c r="P116" t="s">
        <v>470</v>
      </c>
      <c r="Q116">
        <v>1</v>
      </c>
      <c r="W116">
        <v>0</v>
      </c>
      <c r="X116">
        <v>-185737400</v>
      </c>
      <c r="Y116">
        <v>0.453125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0.29</v>
      </c>
      <c r="AU116" t="s">
        <v>520</v>
      </c>
      <c r="AV116">
        <v>2</v>
      </c>
      <c r="AW116">
        <v>2</v>
      </c>
      <c r="AX116">
        <v>51689005</v>
      </c>
      <c r="AY116">
        <v>1</v>
      </c>
      <c r="AZ116">
        <v>0</v>
      </c>
      <c r="BA116">
        <v>111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Y116*Source!I94</f>
        <v>0.31718749999999996</v>
      </c>
      <c r="CY116">
        <f>AD116</f>
        <v>0</v>
      </c>
      <c r="CZ116">
        <f>AH116</f>
        <v>0</v>
      </c>
      <c r="DA116">
        <f>AL116</f>
        <v>1</v>
      </c>
      <c r="DB116">
        <f>ROUND(((ROUND(AT116*CZ116,2)*1.25)*1.25),2)</f>
        <v>0</v>
      </c>
      <c r="DC116">
        <f>ROUND(((ROUND(AT116*AG116,2)*1.25)*1.25),2)</f>
        <v>0</v>
      </c>
    </row>
    <row r="117" spans="1:107" ht="12.75">
      <c r="A117">
        <f>ROW(Source!A94)</f>
        <v>94</v>
      </c>
      <c r="B117">
        <v>51669678</v>
      </c>
      <c r="C117">
        <v>51688993</v>
      </c>
      <c r="D117">
        <v>270771356</v>
      </c>
      <c r="E117">
        <v>1</v>
      </c>
      <c r="F117">
        <v>1</v>
      </c>
      <c r="G117">
        <v>1</v>
      </c>
      <c r="H117">
        <v>2</v>
      </c>
      <c r="I117" t="s">
        <v>471</v>
      </c>
      <c r="J117" t="s">
        <v>472</v>
      </c>
      <c r="K117" t="s">
        <v>473</v>
      </c>
      <c r="L117">
        <v>1368</v>
      </c>
      <c r="N117">
        <v>1011</v>
      </c>
      <c r="O117" t="s">
        <v>466</v>
      </c>
      <c r="P117" t="s">
        <v>466</v>
      </c>
      <c r="Q117">
        <v>1</v>
      </c>
      <c r="W117">
        <v>0</v>
      </c>
      <c r="X117">
        <v>-435889032</v>
      </c>
      <c r="Y117">
        <v>0.28125</v>
      </c>
      <c r="AA117">
        <v>0</v>
      </c>
      <c r="AB117">
        <v>98.9</v>
      </c>
      <c r="AC117">
        <v>24.53</v>
      </c>
      <c r="AD117">
        <v>0</v>
      </c>
      <c r="AE117">
        <v>0</v>
      </c>
      <c r="AF117">
        <v>98.9</v>
      </c>
      <c r="AG117">
        <v>24.53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0.18</v>
      </c>
      <c r="AU117" t="s">
        <v>139</v>
      </c>
      <c r="AV117">
        <v>0</v>
      </c>
      <c r="AW117">
        <v>2</v>
      </c>
      <c r="AX117">
        <v>51689006</v>
      </c>
      <c r="AY117">
        <v>1</v>
      </c>
      <c r="AZ117">
        <v>0</v>
      </c>
      <c r="BA117">
        <v>112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Y117*Source!I94</f>
        <v>0.196875</v>
      </c>
      <c r="CY117">
        <f>AB117</f>
        <v>98.9</v>
      </c>
      <c r="CZ117">
        <f>AF117</f>
        <v>98.9</v>
      </c>
      <c r="DA117">
        <f>AJ117</f>
        <v>1</v>
      </c>
      <c r="DB117">
        <f>ROUND(((ROUND(AT117*CZ117,2)*1.25)*1.25),2)</f>
        <v>27.81</v>
      </c>
      <c r="DC117">
        <f>ROUND(((ROUND(AT117*AG117,2)*1.25)*1.25),2)</f>
        <v>6.91</v>
      </c>
    </row>
    <row r="118" spans="1:107" ht="12.75">
      <c r="A118">
        <f>ROW(Source!A94)</f>
        <v>94</v>
      </c>
      <c r="B118">
        <v>51669678</v>
      </c>
      <c r="C118">
        <v>51688993</v>
      </c>
      <c r="D118">
        <v>270771467</v>
      </c>
      <c r="E118">
        <v>1</v>
      </c>
      <c r="F118">
        <v>1</v>
      </c>
      <c r="G118">
        <v>1</v>
      </c>
      <c r="H118">
        <v>2</v>
      </c>
      <c r="I118" t="s">
        <v>476</v>
      </c>
      <c r="J118" t="s">
        <v>477</v>
      </c>
      <c r="K118" t="s">
        <v>478</v>
      </c>
      <c r="L118">
        <v>1368</v>
      </c>
      <c r="N118">
        <v>1011</v>
      </c>
      <c r="O118" t="s">
        <v>466</v>
      </c>
      <c r="P118" t="s">
        <v>466</v>
      </c>
      <c r="Q118">
        <v>1</v>
      </c>
      <c r="W118">
        <v>0</v>
      </c>
      <c r="X118">
        <v>1617131323</v>
      </c>
      <c r="Y118">
        <v>0.171875</v>
      </c>
      <c r="AA118">
        <v>0</v>
      </c>
      <c r="AB118">
        <v>125.73</v>
      </c>
      <c r="AC118">
        <v>24.53</v>
      </c>
      <c r="AD118">
        <v>0</v>
      </c>
      <c r="AE118">
        <v>0</v>
      </c>
      <c r="AF118">
        <v>125.73</v>
      </c>
      <c r="AG118">
        <v>24.53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0.11</v>
      </c>
      <c r="AU118" t="s">
        <v>139</v>
      </c>
      <c r="AV118">
        <v>0</v>
      </c>
      <c r="AW118">
        <v>2</v>
      </c>
      <c r="AX118">
        <v>51689007</v>
      </c>
      <c r="AY118">
        <v>1</v>
      </c>
      <c r="AZ118">
        <v>0</v>
      </c>
      <c r="BA118">
        <v>113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Y118*Source!I94</f>
        <v>0.12031249999999999</v>
      </c>
      <c r="CY118">
        <f>AB118</f>
        <v>125.73</v>
      </c>
      <c r="CZ118">
        <f>AF118</f>
        <v>125.73</v>
      </c>
      <c r="DA118">
        <f>AJ118</f>
        <v>1</v>
      </c>
      <c r="DB118">
        <f>ROUND(((ROUND(AT118*CZ118,2)*1.25)*1.25),2)</f>
        <v>21.61</v>
      </c>
      <c r="DC118">
        <f>ROUND(((ROUND(AT118*AG118,2)*1.25)*1.25),2)</f>
        <v>4.22</v>
      </c>
    </row>
    <row r="119" spans="1:107" ht="12.75">
      <c r="A119">
        <f>ROW(Source!A94)</f>
        <v>94</v>
      </c>
      <c r="B119">
        <v>51669678</v>
      </c>
      <c r="C119">
        <v>51688993</v>
      </c>
      <c r="D119">
        <v>270771745</v>
      </c>
      <c r="E119">
        <v>1</v>
      </c>
      <c r="F119">
        <v>1</v>
      </c>
      <c r="G119">
        <v>1</v>
      </c>
      <c r="H119">
        <v>2</v>
      </c>
      <c r="I119" t="s">
        <v>615</v>
      </c>
      <c r="J119" t="s">
        <v>616</v>
      </c>
      <c r="K119" t="s">
        <v>617</v>
      </c>
      <c r="L119">
        <v>1368</v>
      </c>
      <c r="N119">
        <v>1011</v>
      </c>
      <c r="O119" t="s">
        <v>466</v>
      </c>
      <c r="P119" t="s">
        <v>466</v>
      </c>
      <c r="Q119">
        <v>1</v>
      </c>
      <c r="W119">
        <v>0</v>
      </c>
      <c r="X119">
        <v>-250074079</v>
      </c>
      <c r="Y119">
        <v>2.953125</v>
      </c>
      <c r="AA119">
        <v>0</v>
      </c>
      <c r="AB119">
        <v>8.31</v>
      </c>
      <c r="AC119">
        <v>0</v>
      </c>
      <c r="AD119">
        <v>0</v>
      </c>
      <c r="AE119">
        <v>0</v>
      </c>
      <c r="AF119">
        <v>8.31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1.89</v>
      </c>
      <c r="AU119" t="s">
        <v>139</v>
      </c>
      <c r="AV119">
        <v>0</v>
      </c>
      <c r="AW119">
        <v>2</v>
      </c>
      <c r="AX119">
        <v>51689008</v>
      </c>
      <c r="AY119">
        <v>1</v>
      </c>
      <c r="AZ119">
        <v>0</v>
      </c>
      <c r="BA119">
        <v>114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Y119*Source!I94</f>
        <v>2.0671874999999997</v>
      </c>
      <c r="CY119">
        <f>AB119</f>
        <v>8.31</v>
      </c>
      <c r="CZ119">
        <f>AF119</f>
        <v>8.31</v>
      </c>
      <c r="DA119">
        <f>AJ119</f>
        <v>1</v>
      </c>
      <c r="DB119">
        <f>ROUND(((ROUND(AT119*CZ119,2)*1.25)*1.25),2)</f>
        <v>24.55</v>
      </c>
      <c r="DC119">
        <f>ROUND(((ROUND(AT119*AG119,2)*1.25)*1.25),2)</f>
        <v>0</v>
      </c>
    </row>
    <row r="120" spans="1:107" ht="12.75">
      <c r="A120">
        <f>ROW(Source!A94)</f>
        <v>94</v>
      </c>
      <c r="B120">
        <v>51669678</v>
      </c>
      <c r="C120">
        <v>51688993</v>
      </c>
      <c r="D120">
        <v>270774071</v>
      </c>
      <c r="E120">
        <v>1</v>
      </c>
      <c r="F120">
        <v>1</v>
      </c>
      <c r="G120">
        <v>1</v>
      </c>
      <c r="H120">
        <v>2</v>
      </c>
      <c r="I120" t="s">
        <v>479</v>
      </c>
      <c r="J120" t="s">
        <v>480</v>
      </c>
      <c r="K120" t="s">
        <v>481</v>
      </c>
      <c r="L120">
        <v>1368</v>
      </c>
      <c r="N120">
        <v>1011</v>
      </c>
      <c r="O120" t="s">
        <v>466</v>
      </c>
      <c r="P120" t="s">
        <v>466</v>
      </c>
      <c r="Q120">
        <v>1</v>
      </c>
      <c r="W120">
        <v>0</v>
      </c>
      <c r="X120">
        <v>1109194647</v>
      </c>
      <c r="Y120">
        <v>0.21875000000000003</v>
      </c>
      <c r="AA120">
        <v>0</v>
      </c>
      <c r="AB120">
        <v>119.95</v>
      </c>
      <c r="AC120">
        <v>20.99</v>
      </c>
      <c r="AD120">
        <v>0</v>
      </c>
      <c r="AE120">
        <v>0</v>
      </c>
      <c r="AF120">
        <v>119.95</v>
      </c>
      <c r="AG120">
        <v>20.99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0.14</v>
      </c>
      <c r="AU120" t="s">
        <v>139</v>
      </c>
      <c r="AV120">
        <v>0</v>
      </c>
      <c r="AW120">
        <v>2</v>
      </c>
      <c r="AX120">
        <v>51689009</v>
      </c>
      <c r="AY120">
        <v>1</v>
      </c>
      <c r="AZ120">
        <v>0</v>
      </c>
      <c r="BA120">
        <v>115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Y120*Source!I94</f>
        <v>0.153125</v>
      </c>
      <c r="CY120">
        <f>AB120</f>
        <v>119.95</v>
      </c>
      <c r="CZ120">
        <f>AF120</f>
        <v>119.95</v>
      </c>
      <c r="DA120">
        <f>AJ120</f>
        <v>1</v>
      </c>
      <c r="DB120">
        <f>ROUND(((ROUND(AT120*CZ120,2)*1.25)*1.25),2)</f>
        <v>26.23</v>
      </c>
      <c r="DC120">
        <f>ROUND(((ROUND(AT120*AG120,2)*1.25)*1.25),2)</f>
        <v>4.59</v>
      </c>
    </row>
    <row r="121" spans="1:107" ht="12.75">
      <c r="A121">
        <f>ROW(Source!A94)</f>
        <v>94</v>
      </c>
      <c r="B121">
        <v>51669678</v>
      </c>
      <c r="C121">
        <v>51688993</v>
      </c>
      <c r="D121">
        <v>270723636</v>
      </c>
      <c r="E121">
        <v>1</v>
      </c>
      <c r="F121">
        <v>1</v>
      </c>
      <c r="G121">
        <v>1</v>
      </c>
      <c r="H121">
        <v>3</v>
      </c>
      <c r="I121" t="s">
        <v>618</v>
      </c>
      <c r="J121" t="s">
        <v>619</v>
      </c>
      <c r="K121" t="s">
        <v>620</v>
      </c>
      <c r="L121">
        <v>1348</v>
      </c>
      <c r="N121">
        <v>1009</v>
      </c>
      <c r="O121" t="s">
        <v>37</v>
      </c>
      <c r="P121" t="s">
        <v>37</v>
      </c>
      <c r="Q121">
        <v>1000</v>
      </c>
      <c r="W121">
        <v>0</v>
      </c>
      <c r="X121">
        <v>171222065</v>
      </c>
      <c r="Y121">
        <v>0.0005</v>
      </c>
      <c r="AA121">
        <v>12139.44</v>
      </c>
      <c r="AB121">
        <v>0</v>
      </c>
      <c r="AC121">
        <v>0</v>
      </c>
      <c r="AD121">
        <v>0</v>
      </c>
      <c r="AE121">
        <v>12139.44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0.0005</v>
      </c>
      <c r="AV121">
        <v>0</v>
      </c>
      <c r="AW121">
        <v>2</v>
      </c>
      <c r="AX121">
        <v>51689010</v>
      </c>
      <c r="AY121">
        <v>1</v>
      </c>
      <c r="AZ121">
        <v>0</v>
      </c>
      <c r="BA121">
        <v>116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Y121*Source!I94</f>
        <v>0.00035</v>
      </c>
      <c r="CY121">
        <f>AA121</f>
        <v>12139.44</v>
      </c>
      <c r="CZ121">
        <f>AE121</f>
        <v>12139.44</v>
      </c>
      <c r="DA121">
        <f>AI121</f>
        <v>1</v>
      </c>
      <c r="DB121">
        <f>ROUND(ROUND(AT121*CZ121,2),2)</f>
        <v>6.07</v>
      </c>
      <c r="DC121">
        <f>ROUND(ROUND(AT121*AG121,2),2)</f>
        <v>0</v>
      </c>
    </row>
    <row r="122" spans="1:107" ht="12.75">
      <c r="A122">
        <f>ROW(Source!A94)</f>
        <v>94</v>
      </c>
      <c r="B122">
        <v>51669678</v>
      </c>
      <c r="C122">
        <v>51688993</v>
      </c>
      <c r="D122">
        <v>270719032</v>
      </c>
      <c r="E122">
        <v>1</v>
      </c>
      <c r="F122">
        <v>1</v>
      </c>
      <c r="G122">
        <v>1</v>
      </c>
      <c r="H122">
        <v>3</v>
      </c>
      <c r="I122" t="s">
        <v>621</v>
      </c>
      <c r="J122" t="s">
        <v>622</v>
      </c>
      <c r="K122" t="s">
        <v>623</v>
      </c>
      <c r="L122">
        <v>1346</v>
      </c>
      <c r="N122">
        <v>1009</v>
      </c>
      <c r="O122" t="s">
        <v>597</v>
      </c>
      <c r="P122" t="s">
        <v>597</v>
      </c>
      <c r="Q122">
        <v>1</v>
      </c>
      <c r="W122">
        <v>0</v>
      </c>
      <c r="X122">
        <v>1429443429</v>
      </c>
      <c r="Y122">
        <v>0.52</v>
      </c>
      <c r="AA122">
        <v>50.47</v>
      </c>
      <c r="AB122">
        <v>0</v>
      </c>
      <c r="AC122">
        <v>0</v>
      </c>
      <c r="AD122">
        <v>0</v>
      </c>
      <c r="AE122">
        <v>50.47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0.52</v>
      </c>
      <c r="AV122">
        <v>0</v>
      </c>
      <c r="AW122">
        <v>2</v>
      </c>
      <c r="AX122">
        <v>51689011</v>
      </c>
      <c r="AY122">
        <v>1</v>
      </c>
      <c r="AZ122">
        <v>0</v>
      </c>
      <c r="BA122">
        <v>117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Y122*Source!I94</f>
        <v>0.364</v>
      </c>
      <c r="CY122">
        <f>AA122</f>
        <v>50.47</v>
      </c>
      <c r="CZ122">
        <f>AE122</f>
        <v>50.47</v>
      </c>
      <c r="DA122">
        <f>AI122</f>
        <v>1</v>
      </c>
      <c r="DB122">
        <f>ROUND(ROUND(AT122*CZ122,2),2)</f>
        <v>26.24</v>
      </c>
      <c r="DC122">
        <f>ROUND(ROUND(AT122*AG122,2),2)</f>
        <v>0</v>
      </c>
    </row>
    <row r="123" spans="1:107" ht="12.75">
      <c r="A123">
        <f>ROW(Source!A94)</f>
        <v>94</v>
      </c>
      <c r="B123">
        <v>51669678</v>
      </c>
      <c r="C123">
        <v>51688993</v>
      </c>
      <c r="D123">
        <v>270722956</v>
      </c>
      <c r="E123">
        <v>1</v>
      </c>
      <c r="F123">
        <v>1</v>
      </c>
      <c r="G123">
        <v>1</v>
      </c>
      <c r="H123">
        <v>3</v>
      </c>
      <c r="I123" t="s">
        <v>244</v>
      </c>
      <c r="J123" t="s">
        <v>246</v>
      </c>
      <c r="K123" t="s">
        <v>245</v>
      </c>
      <c r="L123">
        <v>1354</v>
      </c>
      <c r="N123">
        <v>1010</v>
      </c>
      <c r="O123" t="s">
        <v>202</v>
      </c>
      <c r="P123" t="s">
        <v>202</v>
      </c>
      <c r="Q123">
        <v>1</v>
      </c>
      <c r="W123">
        <v>0</v>
      </c>
      <c r="X123">
        <v>-1183656813</v>
      </c>
      <c r="Y123">
        <v>50</v>
      </c>
      <c r="AA123">
        <v>360.08</v>
      </c>
      <c r="AB123">
        <v>0</v>
      </c>
      <c r="AC123">
        <v>0</v>
      </c>
      <c r="AD123">
        <v>0</v>
      </c>
      <c r="AE123">
        <v>128.6</v>
      </c>
      <c r="AF123">
        <v>0</v>
      </c>
      <c r="AG123">
        <v>0</v>
      </c>
      <c r="AH123">
        <v>0</v>
      </c>
      <c r="AI123">
        <v>2.8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T123">
        <v>50</v>
      </c>
      <c r="AV123">
        <v>0</v>
      </c>
      <c r="AW123">
        <v>1</v>
      </c>
      <c r="AX123">
        <v>-1</v>
      </c>
      <c r="AY123">
        <v>0</v>
      </c>
      <c r="AZ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Y123*Source!I94</f>
        <v>35</v>
      </c>
      <c r="CY123">
        <f>AA123</f>
        <v>360.08</v>
      </c>
      <c r="CZ123">
        <f>AE123</f>
        <v>128.6</v>
      </c>
      <c r="DA123">
        <f>AI123</f>
        <v>2.8</v>
      </c>
      <c r="DB123">
        <f>ROUND(ROUND(AT123*CZ123,2),2)</f>
        <v>6430</v>
      </c>
      <c r="DC123">
        <f>ROUND(ROUND(AT123*AG123,2),2)</f>
        <v>0</v>
      </c>
    </row>
    <row r="124" spans="1:107" ht="12.75">
      <c r="A124">
        <f>ROW(Source!A94)</f>
        <v>94</v>
      </c>
      <c r="B124">
        <v>51669678</v>
      </c>
      <c r="C124">
        <v>51688993</v>
      </c>
      <c r="D124">
        <v>270711264</v>
      </c>
      <c r="E124">
        <v>1</v>
      </c>
      <c r="F124">
        <v>1</v>
      </c>
      <c r="G124">
        <v>1</v>
      </c>
      <c r="H124">
        <v>3</v>
      </c>
      <c r="I124" t="s">
        <v>248</v>
      </c>
      <c r="J124" t="s">
        <v>250</v>
      </c>
      <c r="K124" t="s">
        <v>249</v>
      </c>
      <c r="L124">
        <v>1348</v>
      </c>
      <c r="N124">
        <v>1009</v>
      </c>
      <c r="O124" t="s">
        <v>37</v>
      </c>
      <c r="P124" t="s">
        <v>37</v>
      </c>
      <c r="Q124">
        <v>1000</v>
      </c>
      <c r="W124">
        <v>1</v>
      </c>
      <c r="X124">
        <v>49850889</v>
      </c>
      <c r="Y124">
        <v>-0.3</v>
      </c>
      <c r="AA124">
        <v>82979.63</v>
      </c>
      <c r="AB124">
        <v>0</v>
      </c>
      <c r="AC124">
        <v>0</v>
      </c>
      <c r="AD124">
        <v>0</v>
      </c>
      <c r="AE124">
        <v>13088.27</v>
      </c>
      <c r="AF124">
        <v>0</v>
      </c>
      <c r="AG124">
        <v>0</v>
      </c>
      <c r="AH124">
        <v>0</v>
      </c>
      <c r="AI124">
        <v>6.34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-0.3</v>
      </c>
      <c r="AV124">
        <v>0</v>
      </c>
      <c r="AW124">
        <v>2</v>
      </c>
      <c r="AX124">
        <v>51689012</v>
      </c>
      <c r="AY124">
        <v>1</v>
      </c>
      <c r="AZ124">
        <v>6144</v>
      </c>
      <c r="BA124">
        <v>118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Y124*Source!I94</f>
        <v>-0.21</v>
      </c>
      <c r="CY124">
        <f>AA124</f>
        <v>82979.63</v>
      </c>
      <c r="CZ124">
        <f>AE124</f>
        <v>13088.27</v>
      </c>
      <c r="DA124">
        <f>AI124</f>
        <v>6.34</v>
      </c>
      <c r="DB124">
        <f>ROUND(ROUND(AT124*CZ124,2),2)</f>
        <v>-3926.48</v>
      </c>
      <c r="DC124">
        <f>ROUND(ROUND(AT124*AG124,2),2)</f>
        <v>0</v>
      </c>
    </row>
    <row r="125" spans="1:107" ht="12.75">
      <c r="A125">
        <f>ROW(Source!A94)</f>
        <v>94</v>
      </c>
      <c r="B125">
        <v>51669678</v>
      </c>
      <c r="C125">
        <v>51688993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200</v>
      </c>
      <c r="K125" t="s">
        <v>241</v>
      </c>
      <c r="L125">
        <v>1301</v>
      </c>
      <c r="N125">
        <v>1003</v>
      </c>
      <c r="O125" t="s">
        <v>212</v>
      </c>
      <c r="P125" t="s">
        <v>212</v>
      </c>
      <c r="Q125">
        <v>1</v>
      </c>
      <c r="W125">
        <v>0</v>
      </c>
      <c r="X125">
        <v>-1757814265</v>
      </c>
      <c r="Y125">
        <v>100</v>
      </c>
      <c r="AA125">
        <v>666.67</v>
      </c>
      <c r="AB125">
        <v>0</v>
      </c>
      <c r="AC125">
        <v>0</v>
      </c>
      <c r="AD125">
        <v>0</v>
      </c>
      <c r="AE125">
        <v>666.67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T125">
        <v>100</v>
      </c>
      <c r="AV125">
        <v>0</v>
      </c>
      <c r="AW125">
        <v>1</v>
      </c>
      <c r="AX125">
        <v>-1</v>
      </c>
      <c r="AY125">
        <v>0</v>
      </c>
      <c r="AZ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Y125*Source!I94</f>
        <v>70</v>
      </c>
      <c r="CY125">
        <f>AA125</f>
        <v>666.67</v>
      </c>
      <c r="CZ125">
        <f>AE125</f>
        <v>666.67</v>
      </c>
      <c r="DA125">
        <f>AI125</f>
        <v>1</v>
      </c>
      <c r="DB125">
        <f>ROUND(ROUND(AT125*CZ125,2),2)</f>
        <v>66667</v>
      </c>
      <c r="DC125">
        <f>ROUND(ROUND(AT125*AG125,2),2)</f>
        <v>0</v>
      </c>
    </row>
    <row r="126" spans="1:107" ht="12.75">
      <c r="A126">
        <f>ROW(Source!A98)</f>
        <v>98</v>
      </c>
      <c r="B126">
        <v>51669678</v>
      </c>
      <c r="C126">
        <v>51670307</v>
      </c>
      <c r="D126">
        <v>202543279</v>
      </c>
      <c r="E126">
        <v>1</v>
      </c>
      <c r="F126">
        <v>1</v>
      </c>
      <c r="G126">
        <v>1</v>
      </c>
      <c r="H126">
        <v>1</v>
      </c>
      <c r="I126" t="s">
        <v>624</v>
      </c>
      <c r="K126" t="s">
        <v>625</v>
      </c>
      <c r="L126">
        <v>1369</v>
      </c>
      <c r="N126">
        <v>1013</v>
      </c>
      <c r="O126" t="s">
        <v>462</v>
      </c>
      <c r="P126" t="s">
        <v>462</v>
      </c>
      <c r="Q126">
        <v>1</v>
      </c>
      <c r="W126">
        <v>0</v>
      </c>
      <c r="X126">
        <v>-1191973502</v>
      </c>
      <c r="Y126">
        <v>2.09875</v>
      </c>
      <c r="AA126">
        <v>0</v>
      </c>
      <c r="AB126">
        <v>0</v>
      </c>
      <c r="AC126">
        <v>0</v>
      </c>
      <c r="AD126">
        <v>17</v>
      </c>
      <c r="AE126">
        <v>0</v>
      </c>
      <c r="AF126">
        <v>0</v>
      </c>
      <c r="AG126">
        <v>0</v>
      </c>
      <c r="AH126">
        <v>17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1.46</v>
      </c>
      <c r="AU126" t="s">
        <v>519</v>
      </c>
      <c r="AV126">
        <v>1</v>
      </c>
      <c r="AW126">
        <v>2</v>
      </c>
      <c r="AX126">
        <v>51670316</v>
      </c>
      <c r="AY126">
        <v>1</v>
      </c>
      <c r="AZ126">
        <v>0</v>
      </c>
      <c r="BA126">
        <v>119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Y126*Source!I98</f>
        <v>4.1975</v>
      </c>
      <c r="CY126">
        <f>AD126</f>
        <v>17</v>
      </c>
      <c r="CZ126">
        <f>AH126</f>
        <v>17</v>
      </c>
      <c r="DA126">
        <f>AL126</f>
        <v>1</v>
      </c>
      <c r="DB126">
        <f>ROUND(((ROUND(AT126*CZ126,2)*1.15)*1.25),2)</f>
        <v>35.68</v>
      </c>
      <c r="DC126">
        <f>ROUND(((ROUND(AT126*AG126,2)*1.15)*1.25),2)</f>
        <v>0</v>
      </c>
    </row>
    <row r="127" spans="1:107" ht="12.75">
      <c r="A127">
        <f>ROW(Source!A98)</f>
        <v>98</v>
      </c>
      <c r="B127">
        <v>51669678</v>
      </c>
      <c r="C127">
        <v>51670307</v>
      </c>
      <c r="D127">
        <v>270771745</v>
      </c>
      <c r="E127">
        <v>1</v>
      </c>
      <c r="F127">
        <v>1</v>
      </c>
      <c r="G127">
        <v>1</v>
      </c>
      <c r="H127">
        <v>2</v>
      </c>
      <c r="I127" t="s">
        <v>615</v>
      </c>
      <c r="J127" t="s">
        <v>616</v>
      </c>
      <c r="K127" t="s">
        <v>617</v>
      </c>
      <c r="L127">
        <v>1368</v>
      </c>
      <c r="N127">
        <v>1011</v>
      </c>
      <c r="O127" t="s">
        <v>466</v>
      </c>
      <c r="P127" t="s">
        <v>466</v>
      </c>
      <c r="Q127">
        <v>1</v>
      </c>
      <c r="W127">
        <v>0</v>
      </c>
      <c r="X127">
        <v>-250074079</v>
      </c>
      <c r="Y127">
        <v>0.1875</v>
      </c>
      <c r="AA127">
        <v>0</v>
      </c>
      <c r="AB127">
        <v>8.31</v>
      </c>
      <c r="AC127">
        <v>0</v>
      </c>
      <c r="AD127">
        <v>0</v>
      </c>
      <c r="AE127">
        <v>0</v>
      </c>
      <c r="AF127">
        <v>8.31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0.12</v>
      </c>
      <c r="AU127" t="s">
        <v>139</v>
      </c>
      <c r="AV127">
        <v>0</v>
      </c>
      <c r="AW127">
        <v>2</v>
      </c>
      <c r="AX127">
        <v>51670317</v>
      </c>
      <c r="AY127">
        <v>1</v>
      </c>
      <c r="AZ127">
        <v>0</v>
      </c>
      <c r="BA127">
        <v>120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Y127*Source!I98</f>
        <v>0.375</v>
      </c>
      <c r="CY127">
        <f>AB127</f>
        <v>8.31</v>
      </c>
      <c r="CZ127">
        <f>AF127</f>
        <v>8.31</v>
      </c>
      <c r="DA127">
        <f>AJ127</f>
        <v>1</v>
      </c>
      <c r="DB127">
        <f>ROUND(((ROUND(AT127*CZ127,2)*1.25)*1.25),2)</f>
        <v>1.56</v>
      </c>
      <c r="DC127">
        <f>ROUND(((ROUND(AT127*AG127,2)*1.25)*1.25),2)</f>
        <v>0</v>
      </c>
    </row>
    <row r="128" spans="1:107" ht="12.75">
      <c r="A128">
        <f>ROW(Source!A98)</f>
        <v>98</v>
      </c>
      <c r="B128">
        <v>51669678</v>
      </c>
      <c r="C128">
        <v>51670307</v>
      </c>
      <c r="D128">
        <v>270773639</v>
      </c>
      <c r="E128">
        <v>1</v>
      </c>
      <c r="F128">
        <v>1</v>
      </c>
      <c r="G128">
        <v>1</v>
      </c>
      <c r="H128">
        <v>2</v>
      </c>
      <c r="I128" t="s">
        <v>545</v>
      </c>
      <c r="J128" t="s">
        <v>546</v>
      </c>
      <c r="K128" t="s">
        <v>547</v>
      </c>
      <c r="L128">
        <v>1368</v>
      </c>
      <c r="N128">
        <v>1011</v>
      </c>
      <c r="O128" t="s">
        <v>466</v>
      </c>
      <c r="P128" t="s">
        <v>466</v>
      </c>
      <c r="Q128">
        <v>1</v>
      </c>
      <c r="W128">
        <v>0</v>
      </c>
      <c r="X128">
        <v>1079420356</v>
      </c>
      <c r="Y128">
        <v>0.421875</v>
      </c>
      <c r="AA128">
        <v>0</v>
      </c>
      <c r="AB128">
        <v>1.97</v>
      </c>
      <c r="AC128">
        <v>0</v>
      </c>
      <c r="AD128">
        <v>0</v>
      </c>
      <c r="AE128">
        <v>0</v>
      </c>
      <c r="AF128">
        <v>1.97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0.27</v>
      </c>
      <c r="AU128" t="s">
        <v>139</v>
      </c>
      <c r="AV128">
        <v>0</v>
      </c>
      <c r="AW128">
        <v>2</v>
      </c>
      <c r="AX128">
        <v>51670318</v>
      </c>
      <c r="AY128">
        <v>1</v>
      </c>
      <c r="AZ128">
        <v>0</v>
      </c>
      <c r="BA128">
        <v>121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Y128*Source!I98</f>
        <v>0.84375</v>
      </c>
      <c r="CY128">
        <f>AB128</f>
        <v>1.97</v>
      </c>
      <c r="CZ128">
        <f>AF128</f>
        <v>1.97</v>
      </c>
      <c r="DA128">
        <f>AJ128</f>
        <v>1</v>
      </c>
      <c r="DB128">
        <f>ROUND(((ROUND(AT128*CZ128,2)*1.25)*1.25),2)</f>
        <v>0.83</v>
      </c>
      <c r="DC128">
        <f>ROUND(((ROUND(AT128*AG128,2)*1.25)*1.25),2)</f>
        <v>0</v>
      </c>
    </row>
    <row r="129" spans="1:107" ht="12.75">
      <c r="A129">
        <f>ROW(Source!A98)</f>
        <v>98</v>
      </c>
      <c r="B129">
        <v>51669678</v>
      </c>
      <c r="C129">
        <v>51670307</v>
      </c>
      <c r="D129">
        <v>270774071</v>
      </c>
      <c r="E129">
        <v>1</v>
      </c>
      <c r="F129">
        <v>1</v>
      </c>
      <c r="G129">
        <v>1</v>
      </c>
      <c r="H129">
        <v>2</v>
      </c>
      <c r="I129" t="s">
        <v>479</v>
      </c>
      <c r="J129" t="s">
        <v>480</v>
      </c>
      <c r="K129" t="s">
        <v>481</v>
      </c>
      <c r="L129">
        <v>1368</v>
      </c>
      <c r="N129">
        <v>1011</v>
      </c>
      <c r="O129" t="s">
        <v>466</v>
      </c>
      <c r="P129" t="s">
        <v>466</v>
      </c>
      <c r="Q129">
        <v>1</v>
      </c>
      <c r="W129">
        <v>0</v>
      </c>
      <c r="X129">
        <v>1109194647</v>
      </c>
      <c r="Y129">
        <v>0.015625</v>
      </c>
      <c r="AA129">
        <v>0</v>
      </c>
      <c r="AB129">
        <v>119.95</v>
      </c>
      <c r="AC129">
        <v>20.99</v>
      </c>
      <c r="AD129">
        <v>0</v>
      </c>
      <c r="AE129">
        <v>0</v>
      </c>
      <c r="AF129">
        <v>119.95</v>
      </c>
      <c r="AG129">
        <v>20.99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0.01</v>
      </c>
      <c r="AU129" t="s">
        <v>139</v>
      </c>
      <c r="AV129">
        <v>0</v>
      </c>
      <c r="AW129">
        <v>2</v>
      </c>
      <c r="AX129">
        <v>51670319</v>
      </c>
      <c r="AY129">
        <v>1</v>
      </c>
      <c r="AZ129">
        <v>0</v>
      </c>
      <c r="BA129">
        <v>122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Y129*Source!I98</f>
        <v>0.03125</v>
      </c>
      <c r="CY129">
        <f>AB129</f>
        <v>119.95</v>
      </c>
      <c r="CZ129">
        <f>AF129</f>
        <v>119.95</v>
      </c>
      <c r="DA129">
        <f>AJ129</f>
        <v>1</v>
      </c>
      <c r="DB129">
        <f>ROUND(((ROUND(AT129*CZ129,2)*1.25)*1.25),2)</f>
        <v>1.88</v>
      </c>
      <c r="DC129">
        <f>ROUND(((ROUND(AT129*AG129,2)*1.25)*1.25),2)</f>
        <v>0.33</v>
      </c>
    </row>
    <row r="130" spans="1:107" ht="12.75">
      <c r="A130">
        <f>ROW(Source!A98)</f>
        <v>98</v>
      </c>
      <c r="B130">
        <v>51669678</v>
      </c>
      <c r="C130">
        <v>51670307</v>
      </c>
      <c r="D130">
        <v>270723640</v>
      </c>
      <c r="E130">
        <v>1</v>
      </c>
      <c r="F130">
        <v>1</v>
      </c>
      <c r="G130">
        <v>1</v>
      </c>
      <c r="H130">
        <v>3</v>
      </c>
      <c r="I130" t="s">
        <v>626</v>
      </c>
      <c r="J130" t="s">
        <v>627</v>
      </c>
      <c r="K130" t="s">
        <v>628</v>
      </c>
      <c r="L130">
        <v>1348</v>
      </c>
      <c r="N130">
        <v>1009</v>
      </c>
      <c r="O130" t="s">
        <v>37</v>
      </c>
      <c r="P130" t="s">
        <v>37</v>
      </c>
      <c r="Q130">
        <v>1000</v>
      </c>
      <c r="W130">
        <v>0</v>
      </c>
      <c r="X130">
        <v>-1613617557</v>
      </c>
      <c r="Y130">
        <v>0.00011</v>
      </c>
      <c r="AA130">
        <v>14120.9</v>
      </c>
      <c r="AB130">
        <v>0</v>
      </c>
      <c r="AC130">
        <v>0</v>
      </c>
      <c r="AD130">
        <v>0</v>
      </c>
      <c r="AE130">
        <v>14120.9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0.00011</v>
      </c>
      <c r="AV130">
        <v>0</v>
      </c>
      <c r="AW130">
        <v>2</v>
      </c>
      <c r="AX130">
        <v>51670320</v>
      </c>
      <c r="AY130">
        <v>1</v>
      </c>
      <c r="AZ130">
        <v>0</v>
      </c>
      <c r="BA130">
        <v>123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Y130*Source!I98</f>
        <v>0.00022</v>
      </c>
      <c r="CY130">
        <f>AA130</f>
        <v>14120.9</v>
      </c>
      <c r="CZ130">
        <f>AE130</f>
        <v>14120.9</v>
      </c>
      <c r="DA130">
        <f>AI130</f>
        <v>1</v>
      </c>
      <c r="DB130">
        <f>ROUND(ROUND(AT130*CZ130,2),2)</f>
        <v>1.55</v>
      </c>
      <c r="DC130">
        <f>ROUND(ROUND(AT130*AG130,2),2)</f>
        <v>0</v>
      </c>
    </row>
    <row r="131" spans="1:107" ht="12.75">
      <c r="A131">
        <f>ROW(Source!A98)</f>
        <v>98</v>
      </c>
      <c r="B131">
        <v>51669678</v>
      </c>
      <c r="C131">
        <v>51670307</v>
      </c>
      <c r="D131">
        <v>270713328</v>
      </c>
      <c r="E131">
        <v>1</v>
      </c>
      <c r="F131">
        <v>1</v>
      </c>
      <c r="G131">
        <v>1</v>
      </c>
      <c r="H131">
        <v>3</v>
      </c>
      <c r="I131" t="s">
        <v>629</v>
      </c>
      <c r="J131" t="s">
        <v>630</v>
      </c>
      <c r="K131" t="s">
        <v>631</v>
      </c>
      <c r="L131">
        <v>1348</v>
      </c>
      <c r="N131">
        <v>1009</v>
      </c>
      <c r="O131" t="s">
        <v>37</v>
      </c>
      <c r="P131" t="s">
        <v>37</v>
      </c>
      <c r="Q131">
        <v>1000</v>
      </c>
      <c r="W131">
        <v>0</v>
      </c>
      <c r="X131">
        <v>-1778408407</v>
      </c>
      <c r="Y131">
        <v>0.00043</v>
      </c>
      <c r="AA131">
        <v>6109.62</v>
      </c>
      <c r="AB131">
        <v>0</v>
      </c>
      <c r="AC131">
        <v>0</v>
      </c>
      <c r="AD131">
        <v>0</v>
      </c>
      <c r="AE131">
        <v>6109.62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0.00043</v>
      </c>
      <c r="AV131">
        <v>0</v>
      </c>
      <c r="AW131">
        <v>2</v>
      </c>
      <c r="AX131">
        <v>51670321</v>
      </c>
      <c r="AY131">
        <v>1</v>
      </c>
      <c r="AZ131">
        <v>0</v>
      </c>
      <c r="BA131">
        <v>124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Y131*Source!I98</f>
        <v>0.00086</v>
      </c>
      <c r="CY131">
        <f>AA131</f>
        <v>6109.62</v>
      </c>
      <c r="CZ131">
        <f>AE131</f>
        <v>6109.62</v>
      </c>
      <c r="DA131">
        <f>AI131</f>
        <v>1</v>
      </c>
      <c r="DB131">
        <f>ROUND(ROUND(AT131*CZ131,2),2)</f>
        <v>2.63</v>
      </c>
      <c r="DC131">
        <f>ROUND(ROUND(AT131*AG131,2),2)</f>
        <v>0</v>
      </c>
    </row>
    <row r="132" spans="1:107" ht="12.75">
      <c r="A132">
        <f>ROW(Source!A98)</f>
        <v>98</v>
      </c>
      <c r="B132">
        <v>51669678</v>
      </c>
      <c r="C132">
        <v>51670307</v>
      </c>
      <c r="D132">
        <v>270696387</v>
      </c>
      <c r="E132">
        <v>1</v>
      </c>
      <c r="F132">
        <v>1</v>
      </c>
      <c r="G132">
        <v>1</v>
      </c>
      <c r="H132">
        <v>3</v>
      </c>
      <c r="I132" t="s">
        <v>632</v>
      </c>
      <c r="J132" t="s">
        <v>633</v>
      </c>
      <c r="K132" t="s">
        <v>634</v>
      </c>
      <c r="L132">
        <v>1339</v>
      </c>
      <c r="N132">
        <v>1007</v>
      </c>
      <c r="O132" t="s">
        <v>149</v>
      </c>
      <c r="P132" t="s">
        <v>149</v>
      </c>
      <c r="Q132">
        <v>1</v>
      </c>
      <c r="W132">
        <v>0</v>
      </c>
      <c r="X132">
        <v>375543350</v>
      </c>
      <c r="Y132">
        <v>0.0003</v>
      </c>
      <c r="AA132">
        <v>481.9</v>
      </c>
      <c r="AB132">
        <v>0</v>
      </c>
      <c r="AC132">
        <v>0</v>
      </c>
      <c r="AD132">
        <v>0</v>
      </c>
      <c r="AE132">
        <v>481.9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0.0003</v>
      </c>
      <c r="AV132">
        <v>0</v>
      </c>
      <c r="AW132">
        <v>2</v>
      </c>
      <c r="AX132">
        <v>51670323</v>
      </c>
      <c r="AY132">
        <v>1</v>
      </c>
      <c r="AZ132">
        <v>0</v>
      </c>
      <c r="BA132">
        <v>126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Y132*Source!I98</f>
        <v>0.0006</v>
      </c>
      <c r="CY132">
        <f>AA132</f>
        <v>481.9</v>
      </c>
      <c r="CZ132">
        <f>AE132</f>
        <v>481.9</v>
      </c>
      <c r="DA132">
        <f>AI132</f>
        <v>1</v>
      </c>
      <c r="DB132">
        <f>ROUND(ROUND(AT132*CZ132,2),2)</f>
        <v>0.14</v>
      </c>
      <c r="DC132">
        <f>ROUND(ROUND(AT132*AG132,2),2)</f>
        <v>0</v>
      </c>
    </row>
    <row r="133" spans="1:107" ht="12.75">
      <c r="A133">
        <f>ROW(Source!A98)</f>
        <v>98</v>
      </c>
      <c r="B133">
        <v>51669678</v>
      </c>
      <c r="C133">
        <v>51670307</v>
      </c>
      <c r="D133">
        <v>0</v>
      </c>
      <c r="E133">
        <v>1</v>
      </c>
      <c r="F133">
        <v>1</v>
      </c>
      <c r="G133">
        <v>1</v>
      </c>
      <c r="H133">
        <v>3</v>
      </c>
      <c r="I133" t="s">
        <v>200</v>
      </c>
      <c r="K133" t="s">
        <v>259</v>
      </c>
      <c r="L133">
        <v>1354</v>
      </c>
      <c r="N133">
        <v>1010</v>
      </c>
      <c r="O133" t="s">
        <v>202</v>
      </c>
      <c r="P133" t="s">
        <v>202</v>
      </c>
      <c r="Q133">
        <v>1</v>
      </c>
      <c r="W133">
        <v>0</v>
      </c>
      <c r="X133">
        <v>1619616129</v>
      </c>
      <c r="Y133">
        <v>1</v>
      </c>
      <c r="AA133">
        <v>850.01</v>
      </c>
      <c r="AB133">
        <v>0</v>
      </c>
      <c r="AC133">
        <v>0</v>
      </c>
      <c r="AD133">
        <v>0</v>
      </c>
      <c r="AE133">
        <v>133.23</v>
      </c>
      <c r="AF133">
        <v>0</v>
      </c>
      <c r="AG133">
        <v>0</v>
      </c>
      <c r="AH133">
        <v>0</v>
      </c>
      <c r="AI133">
        <v>6.38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T133">
        <v>1</v>
      </c>
      <c r="AV133">
        <v>0</v>
      </c>
      <c r="AW133">
        <v>1</v>
      </c>
      <c r="AX133">
        <v>-1</v>
      </c>
      <c r="AY133">
        <v>0</v>
      </c>
      <c r="AZ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Y133*Source!I98</f>
        <v>2</v>
      </c>
      <c r="CY133">
        <f>AA133</f>
        <v>850.01</v>
      </c>
      <c r="CZ133">
        <f>AE133</f>
        <v>133.23</v>
      </c>
      <c r="DA133">
        <f>AI133</f>
        <v>6.38</v>
      </c>
      <c r="DB133">
        <f>ROUND(ROUND(AT133*CZ133,2),2)</f>
        <v>133.23</v>
      </c>
      <c r="DC133">
        <f>ROUND(ROUND(AT133*AG133,2),2)</f>
        <v>0</v>
      </c>
    </row>
    <row r="134" spans="1:107" ht="12.75">
      <c r="A134">
        <f>ROW(Source!A136)</f>
        <v>136</v>
      </c>
      <c r="B134">
        <v>51669678</v>
      </c>
      <c r="C134">
        <v>51672938</v>
      </c>
      <c r="D134">
        <v>202549185</v>
      </c>
      <c r="E134">
        <v>1</v>
      </c>
      <c r="F134">
        <v>1</v>
      </c>
      <c r="G134">
        <v>1</v>
      </c>
      <c r="H134">
        <v>1</v>
      </c>
      <c r="I134" t="s">
        <v>531</v>
      </c>
      <c r="K134" t="s">
        <v>532</v>
      </c>
      <c r="L134">
        <v>1369</v>
      </c>
      <c r="N134">
        <v>1013</v>
      </c>
      <c r="O134" t="s">
        <v>462</v>
      </c>
      <c r="P134" t="s">
        <v>462</v>
      </c>
      <c r="Q134">
        <v>1</v>
      </c>
      <c r="W134">
        <v>0</v>
      </c>
      <c r="X134">
        <v>157492739</v>
      </c>
      <c r="Y134">
        <v>137.91375</v>
      </c>
      <c r="AA134">
        <v>0</v>
      </c>
      <c r="AB134">
        <v>0</v>
      </c>
      <c r="AC134">
        <v>0</v>
      </c>
      <c r="AD134">
        <v>16.57</v>
      </c>
      <c r="AE134">
        <v>0</v>
      </c>
      <c r="AF134">
        <v>0</v>
      </c>
      <c r="AG134">
        <v>0</v>
      </c>
      <c r="AH134">
        <v>16.57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95.94</v>
      </c>
      <c r="AU134" t="s">
        <v>140</v>
      </c>
      <c r="AV134">
        <v>1</v>
      </c>
      <c r="AW134">
        <v>2</v>
      </c>
      <c r="AX134">
        <v>51672944</v>
      </c>
      <c r="AY134">
        <v>1</v>
      </c>
      <c r="AZ134">
        <v>0</v>
      </c>
      <c r="BA134">
        <v>127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Y134*Source!I136</f>
        <v>855.06525</v>
      </c>
      <c r="CY134">
        <f>AD134</f>
        <v>16.57</v>
      </c>
      <c r="CZ134">
        <f>AH134</f>
        <v>16.57</v>
      </c>
      <c r="DA134">
        <f>AL134</f>
        <v>1</v>
      </c>
      <c r="DB134">
        <f>ROUND(((ROUND(AT134*CZ134,2)*1.15)*1.25),2)</f>
        <v>2285.24</v>
      </c>
      <c r="DC134">
        <f>ROUND(((ROUND(AT134*AG134,2)*1.15)*1.25),2)</f>
        <v>0</v>
      </c>
    </row>
    <row r="135" spans="1:107" ht="12.75">
      <c r="A135">
        <f>ROW(Source!A136)</f>
        <v>136</v>
      </c>
      <c r="B135">
        <v>51669678</v>
      </c>
      <c r="C135">
        <v>51672938</v>
      </c>
      <c r="D135">
        <v>270774071</v>
      </c>
      <c r="E135">
        <v>1</v>
      </c>
      <c r="F135">
        <v>1</v>
      </c>
      <c r="G135">
        <v>1</v>
      </c>
      <c r="H135">
        <v>2</v>
      </c>
      <c r="I135" t="s">
        <v>479</v>
      </c>
      <c r="J135" t="s">
        <v>480</v>
      </c>
      <c r="K135" t="s">
        <v>481</v>
      </c>
      <c r="L135">
        <v>1368</v>
      </c>
      <c r="N135">
        <v>1011</v>
      </c>
      <c r="O135" t="s">
        <v>466</v>
      </c>
      <c r="P135" t="s">
        <v>466</v>
      </c>
      <c r="Q135">
        <v>1</v>
      </c>
      <c r="W135">
        <v>0</v>
      </c>
      <c r="X135">
        <v>1109194647</v>
      </c>
      <c r="Y135">
        <v>0.390625</v>
      </c>
      <c r="AA135">
        <v>0</v>
      </c>
      <c r="AB135">
        <v>119.95</v>
      </c>
      <c r="AC135">
        <v>20.99</v>
      </c>
      <c r="AD135">
        <v>0</v>
      </c>
      <c r="AE135">
        <v>0</v>
      </c>
      <c r="AF135">
        <v>119.95</v>
      </c>
      <c r="AG135">
        <v>20.99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0.25</v>
      </c>
      <c r="AU135" t="s">
        <v>139</v>
      </c>
      <c r="AV135">
        <v>0</v>
      </c>
      <c r="AW135">
        <v>2</v>
      </c>
      <c r="AX135">
        <v>51672945</v>
      </c>
      <c r="AY135">
        <v>1</v>
      </c>
      <c r="AZ135">
        <v>0</v>
      </c>
      <c r="BA135">
        <v>128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Y135*Source!I136</f>
        <v>2.421875</v>
      </c>
      <c r="CY135">
        <f>AB135</f>
        <v>119.95</v>
      </c>
      <c r="CZ135">
        <f>AF135</f>
        <v>119.95</v>
      </c>
      <c r="DA135">
        <f>AJ135</f>
        <v>1</v>
      </c>
      <c r="DB135">
        <f>ROUND(((ROUND(AT135*CZ135,2)*1.25)*1.25),2)</f>
        <v>46.86</v>
      </c>
      <c r="DC135">
        <f>ROUND(((ROUND(AT135*AG135,2)*1.25)*1.25),2)</f>
        <v>8.2</v>
      </c>
    </row>
    <row r="136" spans="1:107" ht="12.75">
      <c r="A136">
        <f>ROW(Source!A136)</f>
        <v>136</v>
      </c>
      <c r="B136">
        <v>51669678</v>
      </c>
      <c r="C136">
        <v>51672938</v>
      </c>
      <c r="D136">
        <v>270721866</v>
      </c>
      <c r="E136">
        <v>1</v>
      </c>
      <c r="F136">
        <v>1</v>
      </c>
      <c r="G136">
        <v>1</v>
      </c>
      <c r="H136">
        <v>3</v>
      </c>
      <c r="I136" t="s">
        <v>635</v>
      </c>
      <c r="J136" t="s">
        <v>636</v>
      </c>
      <c r="K136" t="s">
        <v>637</v>
      </c>
      <c r="L136">
        <v>36015243</v>
      </c>
      <c r="N136">
        <v>1005</v>
      </c>
      <c r="O136" t="s">
        <v>182</v>
      </c>
      <c r="P136" t="s">
        <v>184</v>
      </c>
      <c r="Q136">
        <v>1</v>
      </c>
      <c r="W136">
        <v>0</v>
      </c>
      <c r="X136">
        <v>-1724161834</v>
      </c>
      <c r="Y136">
        <v>206</v>
      </c>
      <c r="AA136">
        <v>30.28</v>
      </c>
      <c r="AB136">
        <v>0</v>
      </c>
      <c r="AC136">
        <v>0</v>
      </c>
      <c r="AD136">
        <v>0</v>
      </c>
      <c r="AE136">
        <v>30.28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206</v>
      </c>
      <c r="AV136">
        <v>0</v>
      </c>
      <c r="AW136">
        <v>2</v>
      </c>
      <c r="AX136">
        <v>51672946</v>
      </c>
      <c r="AY136">
        <v>1</v>
      </c>
      <c r="AZ136">
        <v>0</v>
      </c>
      <c r="BA136">
        <v>129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Y136*Source!I136</f>
        <v>1277.2</v>
      </c>
      <c r="CY136">
        <f>AA136</f>
        <v>30.28</v>
      </c>
      <c r="CZ136">
        <f>AE136</f>
        <v>30.28</v>
      </c>
      <c r="DA136">
        <f>AI136</f>
        <v>1</v>
      </c>
      <c r="DB136">
        <f>ROUND(ROUND(AT136*CZ136,2),2)</f>
        <v>6237.68</v>
      </c>
      <c r="DC136">
        <f>ROUND(ROUND(AT136*AG136,2),2)</f>
        <v>0</v>
      </c>
    </row>
    <row r="137" spans="1:107" ht="12.75">
      <c r="A137">
        <f>ROW(Source!A136)</f>
        <v>136</v>
      </c>
      <c r="B137">
        <v>51669678</v>
      </c>
      <c r="C137">
        <v>51672938</v>
      </c>
      <c r="D137">
        <v>270719888</v>
      </c>
      <c r="E137">
        <v>1</v>
      </c>
      <c r="F137">
        <v>1</v>
      </c>
      <c r="G137">
        <v>1</v>
      </c>
      <c r="H137">
        <v>3</v>
      </c>
      <c r="I137" t="s">
        <v>638</v>
      </c>
      <c r="J137" t="s">
        <v>639</v>
      </c>
      <c r="K137" t="s">
        <v>640</v>
      </c>
      <c r="L137">
        <v>1346</v>
      </c>
      <c r="N137">
        <v>1009</v>
      </c>
      <c r="O137" t="s">
        <v>597</v>
      </c>
      <c r="P137" t="s">
        <v>597</v>
      </c>
      <c r="Q137">
        <v>1</v>
      </c>
      <c r="W137">
        <v>0</v>
      </c>
      <c r="X137">
        <v>1217383840</v>
      </c>
      <c r="Y137">
        <v>7.423</v>
      </c>
      <c r="AA137">
        <v>99.8</v>
      </c>
      <c r="AB137">
        <v>0</v>
      </c>
      <c r="AC137">
        <v>0</v>
      </c>
      <c r="AD137">
        <v>0</v>
      </c>
      <c r="AE137">
        <v>99.8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7.423</v>
      </c>
      <c r="AV137">
        <v>0</v>
      </c>
      <c r="AW137">
        <v>2</v>
      </c>
      <c r="AX137">
        <v>51672947</v>
      </c>
      <c r="AY137">
        <v>1</v>
      </c>
      <c r="AZ137">
        <v>0</v>
      </c>
      <c r="BA137">
        <v>130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Y137*Source!I136</f>
        <v>46.022600000000004</v>
      </c>
      <c r="CY137">
        <f>AA137</f>
        <v>99.8</v>
      </c>
      <c r="CZ137">
        <f>AE137</f>
        <v>99.8</v>
      </c>
      <c r="DA137">
        <f>AI137</f>
        <v>1</v>
      </c>
      <c r="DB137">
        <f>ROUND(ROUND(AT137*CZ137,2),2)</f>
        <v>740.82</v>
      </c>
      <c r="DC137">
        <f>ROUND(ROUND(AT137*AG137,2),2)</f>
        <v>0</v>
      </c>
    </row>
    <row r="138" spans="1:107" ht="12.75">
      <c r="A138">
        <f>ROW(Source!A136)</f>
        <v>136</v>
      </c>
      <c r="B138">
        <v>51669678</v>
      </c>
      <c r="C138">
        <v>51672938</v>
      </c>
      <c r="D138">
        <v>270733096</v>
      </c>
      <c r="E138">
        <v>1</v>
      </c>
      <c r="F138">
        <v>1</v>
      </c>
      <c r="G138">
        <v>1</v>
      </c>
      <c r="H138">
        <v>3</v>
      </c>
      <c r="I138" t="s">
        <v>641</v>
      </c>
      <c r="J138" t="s">
        <v>642</v>
      </c>
      <c r="K138" t="s">
        <v>643</v>
      </c>
      <c r="L138">
        <v>1348</v>
      </c>
      <c r="N138">
        <v>1009</v>
      </c>
      <c r="O138" t="s">
        <v>37</v>
      </c>
      <c r="P138" t="s">
        <v>37</v>
      </c>
      <c r="Q138">
        <v>1000</v>
      </c>
      <c r="W138">
        <v>0</v>
      </c>
      <c r="X138">
        <v>-1590273171</v>
      </c>
      <c r="Y138">
        <v>0.023</v>
      </c>
      <c r="AA138">
        <v>24058.83</v>
      </c>
      <c r="AB138">
        <v>0</v>
      </c>
      <c r="AC138">
        <v>0</v>
      </c>
      <c r="AD138">
        <v>0</v>
      </c>
      <c r="AE138">
        <v>24058.83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0.023</v>
      </c>
      <c r="AV138">
        <v>0</v>
      </c>
      <c r="AW138">
        <v>2</v>
      </c>
      <c r="AX138">
        <v>51672948</v>
      </c>
      <c r="AY138">
        <v>1</v>
      </c>
      <c r="AZ138">
        <v>0</v>
      </c>
      <c r="BA138">
        <v>131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Y138*Source!I136</f>
        <v>0.1426</v>
      </c>
      <c r="CY138">
        <f>AA138</f>
        <v>24058.83</v>
      </c>
      <c r="CZ138">
        <f>AE138</f>
        <v>24058.83</v>
      </c>
      <c r="DA138">
        <f>AI138</f>
        <v>1</v>
      </c>
      <c r="DB138">
        <f>ROUND(ROUND(AT138*CZ138,2),2)</f>
        <v>553.35</v>
      </c>
      <c r="DC138">
        <f>ROUND(ROUND(AT138*AG138,2),2)</f>
        <v>0</v>
      </c>
    </row>
    <row r="139" spans="1:107" ht="12.75">
      <c r="A139">
        <f>ROW(Source!A137)</f>
        <v>137</v>
      </c>
      <c r="B139">
        <v>51669678</v>
      </c>
      <c r="C139">
        <v>51689567</v>
      </c>
      <c r="D139">
        <v>202553392</v>
      </c>
      <c r="E139">
        <v>1</v>
      </c>
      <c r="F139">
        <v>1</v>
      </c>
      <c r="G139">
        <v>1</v>
      </c>
      <c r="H139">
        <v>1</v>
      </c>
      <c r="I139" t="s">
        <v>644</v>
      </c>
      <c r="K139" t="s">
        <v>645</v>
      </c>
      <c r="L139">
        <v>1369</v>
      </c>
      <c r="N139">
        <v>1013</v>
      </c>
      <c r="O139" t="s">
        <v>462</v>
      </c>
      <c r="P139" t="s">
        <v>462</v>
      </c>
      <c r="Q139">
        <v>1</v>
      </c>
      <c r="W139">
        <v>0</v>
      </c>
      <c r="X139">
        <v>-2123614434</v>
      </c>
      <c r="Y139">
        <v>32.34374999999999</v>
      </c>
      <c r="AA139">
        <v>0</v>
      </c>
      <c r="AB139">
        <v>0</v>
      </c>
      <c r="AC139">
        <v>0</v>
      </c>
      <c r="AD139">
        <v>15.89</v>
      </c>
      <c r="AE139">
        <v>0</v>
      </c>
      <c r="AF139">
        <v>0</v>
      </c>
      <c r="AG139">
        <v>0</v>
      </c>
      <c r="AH139">
        <v>15.89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22.5</v>
      </c>
      <c r="AU139" t="s">
        <v>140</v>
      </c>
      <c r="AV139">
        <v>1</v>
      </c>
      <c r="AW139">
        <v>2</v>
      </c>
      <c r="AX139">
        <v>51689582</v>
      </c>
      <c r="AY139">
        <v>1</v>
      </c>
      <c r="AZ139">
        <v>0</v>
      </c>
      <c r="BA139">
        <v>132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Y139*Source!I137</f>
        <v>161.71874999999997</v>
      </c>
      <c r="CY139">
        <f>AD139</f>
        <v>15.89</v>
      </c>
      <c r="CZ139">
        <f>AH139</f>
        <v>15.89</v>
      </c>
      <c r="DA139">
        <f>AL139</f>
        <v>1</v>
      </c>
      <c r="DB139">
        <f>ROUND(((ROUND(AT139*CZ139,2)*1.15)*1.25),2)</f>
        <v>513.95</v>
      </c>
      <c r="DC139">
        <f>ROUND(((ROUND(AT139*AG139,2)*1.15)*1.25),2)</f>
        <v>0</v>
      </c>
    </row>
    <row r="140" spans="1:107" ht="12.75">
      <c r="A140">
        <f>ROW(Source!A137)</f>
        <v>137</v>
      </c>
      <c r="B140">
        <v>51669678</v>
      </c>
      <c r="C140">
        <v>51689567</v>
      </c>
      <c r="D140">
        <v>270773639</v>
      </c>
      <c r="E140">
        <v>1</v>
      </c>
      <c r="F140">
        <v>1</v>
      </c>
      <c r="G140">
        <v>1</v>
      </c>
      <c r="H140">
        <v>2</v>
      </c>
      <c r="I140" t="s">
        <v>545</v>
      </c>
      <c r="J140" t="s">
        <v>546</v>
      </c>
      <c r="K140" t="s">
        <v>547</v>
      </c>
      <c r="L140">
        <v>1368</v>
      </c>
      <c r="N140">
        <v>1011</v>
      </c>
      <c r="O140" t="s">
        <v>466</v>
      </c>
      <c r="P140" t="s">
        <v>466</v>
      </c>
      <c r="Q140">
        <v>1</v>
      </c>
      <c r="W140">
        <v>0</v>
      </c>
      <c r="X140">
        <v>1079420356</v>
      </c>
      <c r="Y140">
        <v>0.35937500000000006</v>
      </c>
      <c r="AA140">
        <v>0</v>
      </c>
      <c r="AB140">
        <v>1.97</v>
      </c>
      <c r="AC140">
        <v>0</v>
      </c>
      <c r="AD140">
        <v>0</v>
      </c>
      <c r="AE140">
        <v>0</v>
      </c>
      <c r="AF140">
        <v>1.97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0.23</v>
      </c>
      <c r="AU140" t="s">
        <v>139</v>
      </c>
      <c r="AV140">
        <v>0</v>
      </c>
      <c r="AW140">
        <v>2</v>
      </c>
      <c r="AX140">
        <v>51689583</v>
      </c>
      <c r="AY140">
        <v>1</v>
      </c>
      <c r="AZ140">
        <v>0</v>
      </c>
      <c r="BA140">
        <v>133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Y140*Source!I137</f>
        <v>1.7968750000000002</v>
      </c>
      <c r="CY140">
        <f>AB140</f>
        <v>1.97</v>
      </c>
      <c r="CZ140">
        <f>AF140</f>
        <v>1.97</v>
      </c>
      <c r="DA140">
        <f>AJ140</f>
        <v>1</v>
      </c>
      <c r="DB140">
        <f>ROUND(((ROUND(AT140*CZ140,2)*1.25)*1.25),2)</f>
        <v>0.7</v>
      </c>
      <c r="DC140">
        <f>ROUND(((ROUND(AT140*AG140,2)*1.25)*1.25),2)</f>
        <v>0</v>
      </c>
    </row>
    <row r="141" spans="1:107" ht="12.75">
      <c r="A141">
        <f>ROW(Source!A137)</f>
        <v>137</v>
      </c>
      <c r="B141">
        <v>51669678</v>
      </c>
      <c r="C141">
        <v>51689567</v>
      </c>
      <c r="D141">
        <v>270773743</v>
      </c>
      <c r="E141">
        <v>1</v>
      </c>
      <c r="F141">
        <v>1</v>
      </c>
      <c r="G141">
        <v>1</v>
      </c>
      <c r="H141">
        <v>2</v>
      </c>
      <c r="I141" t="s">
        <v>646</v>
      </c>
      <c r="J141" t="s">
        <v>647</v>
      </c>
      <c r="K141" t="s">
        <v>648</v>
      </c>
      <c r="L141">
        <v>1368</v>
      </c>
      <c r="N141">
        <v>1011</v>
      </c>
      <c r="O141" t="s">
        <v>466</v>
      </c>
      <c r="P141" t="s">
        <v>466</v>
      </c>
      <c r="Q141">
        <v>1</v>
      </c>
      <c r="W141">
        <v>0</v>
      </c>
      <c r="X141">
        <v>1876196052</v>
      </c>
      <c r="Y141">
        <v>0.515625</v>
      </c>
      <c r="AA141">
        <v>0</v>
      </c>
      <c r="AB141">
        <v>5.19</v>
      </c>
      <c r="AC141">
        <v>0</v>
      </c>
      <c r="AD141">
        <v>0</v>
      </c>
      <c r="AE141">
        <v>0</v>
      </c>
      <c r="AF141">
        <v>5.19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0.33</v>
      </c>
      <c r="AU141" t="s">
        <v>139</v>
      </c>
      <c r="AV141">
        <v>0</v>
      </c>
      <c r="AW141">
        <v>2</v>
      </c>
      <c r="AX141">
        <v>51689584</v>
      </c>
      <c r="AY141">
        <v>1</v>
      </c>
      <c r="AZ141">
        <v>0</v>
      </c>
      <c r="BA141">
        <v>134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Y141*Source!I137</f>
        <v>2.578125</v>
      </c>
      <c r="CY141">
        <f>AB141</f>
        <v>5.19</v>
      </c>
      <c r="CZ141">
        <f>AF141</f>
        <v>5.19</v>
      </c>
      <c r="DA141">
        <f>AJ141</f>
        <v>1</v>
      </c>
      <c r="DB141">
        <f>ROUND(((ROUND(AT141*CZ141,2)*1.25)*1.25),2)</f>
        <v>2.67</v>
      </c>
      <c r="DC141">
        <f>ROUND(((ROUND(AT141*AG141,2)*1.25)*1.25),2)</f>
        <v>0</v>
      </c>
    </row>
    <row r="142" spans="1:107" ht="12.75">
      <c r="A142">
        <f>ROW(Source!A137)</f>
        <v>137</v>
      </c>
      <c r="B142">
        <v>51669678</v>
      </c>
      <c r="C142">
        <v>51689567</v>
      </c>
      <c r="D142">
        <v>270774071</v>
      </c>
      <c r="E142">
        <v>1</v>
      </c>
      <c r="F142">
        <v>1</v>
      </c>
      <c r="G142">
        <v>1</v>
      </c>
      <c r="H142">
        <v>2</v>
      </c>
      <c r="I142" t="s">
        <v>479</v>
      </c>
      <c r="J142" t="s">
        <v>480</v>
      </c>
      <c r="K142" t="s">
        <v>481</v>
      </c>
      <c r="L142">
        <v>1368</v>
      </c>
      <c r="N142">
        <v>1011</v>
      </c>
      <c r="O142" t="s">
        <v>466</v>
      </c>
      <c r="P142" t="s">
        <v>466</v>
      </c>
      <c r="Q142">
        <v>1</v>
      </c>
      <c r="W142">
        <v>0</v>
      </c>
      <c r="X142">
        <v>1109194647</v>
      </c>
      <c r="Y142">
        <v>0.5625</v>
      </c>
      <c r="AA142">
        <v>0</v>
      </c>
      <c r="AB142">
        <v>119.95</v>
      </c>
      <c r="AC142">
        <v>20.99</v>
      </c>
      <c r="AD142">
        <v>0</v>
      </c>
      <c r="AE142">
        <v>0</v>
      </c>
      <c r="AF142">
        <v>119.95</v>
      </c>
      <c r="AG142">
        <v>20.99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0.36</v>
      </c>
      <c r="AU142" t="s">
        <v>139</v>
      </c>
      <c r="AV142">
        <v>0</v>
      </c>
      <c r="AW142">
        <v>2</v>
      </c>
      <c r="AX142">
        <v>51689585</v>
      </c>
      <c r="AY142">
        <v>1</v>
      </c>
      <c r="AZ142">
        <v>0</v>
      </c>
      <c r="BA142">
        <v>135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Y142*Source!I137</f>
        <v>2.8125</v>
      </c>
      <c r="CY142">
        <f>AB142</f>
        <v>119.95</v>
      </c>
      <c r="CZ142">
        <f>AF142</f>
        <v>119.95</v>
      </c>
      <c r="DA142">
        <f>AJ142</f>
        <v>1</v>
      </c>
      <c r="DB142">
        <f>ROUND(((ROUND(AT142*CZ142,2)*1.25)*1.25),2)</f>
        <v>67.47</v>
      </c>
      <c r="DC142">
        <f>ROUND(((ROUND(AT142*AG142,2)*1.25)*1.25),2)</f>
        <v>11.81</v>
      </c>
    </row>
    <row r="143" spans="1:107" ht="12.75">
      <c r="A143">
        <f>ROW(Source!A137)</f>
        <v>137</v>
      </c>
      <c r="B143">
        <v>51669678</v>
      </c>
      <c r="C143">
        <v>51689567</v>
      </c>
      <c r="D143">
        <v>270722362</v>
      </c>
      <c r="E143">
        <v>1</v>
      </c>
      <c r="F143">
        <v>1</v>
      </c>
      <c r="G143">
        <v>1</v>
      </c>
      <c r="H143">
        <v>3</v>
      </c>
      <c r="I143" t="s">
        <v>649</v>
      </c>
      <c r="J143" t="s">
        <v>650</v>
      </c>
      <c r="K143" t="s">
        <v>651</v>
      </c>
      <c r="L143">
        <v>1348</v>
      </c>
      <c r="N143">
        <v>1009</v>
      </c>
      <c r="O143" t="s">
        <v>37</v>
      </c>
      <c r="P143" t="s">
        <v>37</v>
      </c>
      <c r="Q143">
        <v>1000</v>
      </c>
      <c r="W143">
        <v>0</v>
      </c>
      <c r="X143">
        <v>-1348625021</v>
      </c>
      <c r="Y143">
        <v>0.0031</v>
      </c>
      <c r="AA143">
        <v>7008.05</v>
      </c>
      <c r="AB143">
        <v>0</v>
      </c>
      <c r="AC143">
        <v>0</v>
      </c>
      <c r="AD143">
        <v>0</v>
      </c>
      <c r="AE143">
        <v>7008.05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0.0031</v>
      </c>
      <c r="AV143">
        <v>0</v>
      </c>
      <c r="AW143">
        <v>2</v>
      </c>
      <c r="AX143">
        <v>51689586</v>
      </c>
      <c r="AY143">
        <v>1</v>
      </c>
      <c r="AZ143">
        <v>0</v>
      </c>
      <c r="BA143">
        <v>136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Y143*Source!I137</f>
        <v>0.0155</v>
      </c>
      <c r="CY143">
        <f aca="true" t="shared" si="12" ref="CY143:CY152">AA143</f>
        <v>7008.05</v>
      </c>
      <c r="CZ143">
        <f aca="true" t="shared" si="13" ref="CZ143:CZ152">AE143</f>
        <v>7008.05</v>
      </c>
      <c r="DA143">
        <f aca="true" t="shared" si="14" ref="DA143:DA152">AI143</f>
        <v>1</v>
      </c>
      <c r="DB143">
        <f aca="true" t="shared" si="15" ref="DB143:DB152">ROUND(ROUND(AT143*CZ143,2),2)</f>
        <v>21.72</v>
      </c>
      <c r="DC143">
        <f aca="true" t="shared" si="16" ref="DC143:DC152">ROUND(ROUND(AT143*AG143,2),2)</f>
        <v>0</v>
      </c>
    </row>
    <row r="144" spans="1:107" ht="12.75">
      <c r="A144">
        <f>ROW(Source!A137)</f>
        <v>137</v>
      </c>
      <c r="B144">
        <v>51669678</v>
      </c>
      <c r="C144">
        <v>51689567</v>
      </c>
      <c r="D144">
        <v>270721034</v>
      </c>
      <c r="E144">
        <v>1</v>
      </c>
      <c r="F144">
        <v>1</v>
      </c>
      <c r="G144">
        <v>1</v>
      </c>
      <c r="H144">
        <v>3</v>
      </c>
      <c r="I144" t="s">
        <v>652</v>
      </c>
      <c r="J144" t="s">
        <v>653</v>
      </c>
      <c r="K144" t="s">
        <v>654</v>
      </c>
      <c r="L144">
        <v>1348</v>
      </c>
      <c r="N144">
        <v>1009</v>
      </c>
      <c r="O144" t="s">
        <v>37</v>
      </c>
      <c r="P144" t="s">
        <v>37</v>
      </c>
      <c r="Q144">
        <v>1000</v>
      </c>
      <c r="W144">
        <v>0</v>
      </c>
      <c r="X144">
        <v>772714077</v>
      </c>
      <c r="Y144">
        <v>0.00258</v>
      </c>
      <c r="AA144">
        <v>2206.77</v>
      </c>
      <c r="AB144">
        <v>0</v>
      </c>
      <c r="AC144">
        <v>0</v>
      </c>
      <c r="AD144">
        <v>0</v>
      </c>
      <c r="AE144">
        <v>2206.77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0.00258</v>
      </c>
      <c r="AV144">
        <v>0</v>
      </c>
      <c r="AW144">
        <v>2</v>
      </c>
      <c r="AX144">
        <v>51689587</v>
      </c>
      <c r="AY144">
        <v>1</v>
      </c>
      <c r="AZ144">
        <v>0</v>
      </c>
      <c r="BA144">
        <v>137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Y144*Source!I137</f>
        <v>0.012899999999999998</v>
      </c>
      <c r="CY144">
        <f t="shared" si="12"/>
        <v>2206.77</v>
      </c>
      <c r="CZ144">
        <f t="shared" si="13"/>
        <v>2206.77</v>
      </c>
      <c r="DA144">
        <f t="shared" si="14"/>
        <v>1</v>
      </c>
      <c r="DB144">
        <f t="shared" si="15"/>
        <v>5.69</v>
      </c>
      <c r="DC144">
        <f t="shared" si="16"/>
        <v>0</v>
      </c>
    </row>
    <row r="145" spans="1:107" ht="12.75">
      <c r="A145">
        <f>ROW(Source!A137)</f>
        <v>137</v>
      </c>
      <c r="B145">
        <v>51669678</v>
      </c>
      <c r="C145">
        <v>51689567</v>
      </c>
      <c r="D145">
        <v>270723899</v>
      </c>
      <c r="E145">
        <v>1</v>
      </c>
      <c r="F145">
        <v>1</v>
      </c>
      <c r="G145">
        <v>1</v>
      </c>
      <c r="H145">
        <v>3</v>
      </c>
      <c r="I145" t="s">
        <v>655</v>
      </c>
      <c r="J145" t="s">
        <v>656</v>
      </c>
      <c r="K145" t="s">
        <v>657</v>
      </c>
      <c r="L145">
        <v>1348</v>
      </c>
      <c r="N145">
        <v>1009</v>
      </c>
      <c r="O145" t="s">
        <v>37</v>
      </c>
      <c r="P145" t="s">
        <v>37</v>
      </c>
      <c r="Q145">
        <v>1000</v>
      </c>
      <c r="W145">
        <v>0</v>
      </c>
      <c r="X145">
        <v>537599481</v>
      </c>
      <c r="Y145">
        <v>0.0075</v>
      </c>
      <c r="AA145">
        <v>15629.17</v>
      </c>
      <c r="AB145">
        <v>0</v>
      </c>
      <c r="AC145">
        <v>0</v>
      </c>
      <c r="AD145">
        <v>0</v>
      </c>
      <c r="AE145">
        <v>15629.17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0.0075</v>
      </c>
      <c r="AV145">
        <v>0</v>
      </c>
      <c r="AW145">
        <v>2</v>
      </c>
      <c r="AX145">
        <v>51689588</v>
      </c>
      <c r="AY145">
        <v>1</v>
      </c>
      <c r="AZ145">
        <v>0</v>
      </c>
      <c r="BA145">
        <v>138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Y145*Source!I137</f>
        <v>0.0375</v>
      </c>
      <c r="CY145">
        <f t="shared" si="12"/>
        <v>15629.17</v>
      </c>
      <c r="CZ145">
        <f t="shared" si="13"/>
        <v>15629.17</v>
      </c>
      <c r="DA145">
        <f t="shared" si="14"/>
        <v>1</v>
      </c>
      <c r="DB145">
        <f t="shared" si="15"/>
        <v>117.22</v>
      </c>
      <c r="DC145">
        <f t="shared" si="16"/>
        <v>0</v>
      </c>
    </row>
    <row r="146" spans="1:107" ht="12.75">
      <c r="A146">
        <f>ROW(Source!A137)</f>
        <v>137</v>
      </c>
      <c r="B146">
        <v>51669678</v>
      </c>
      <c r="C146">
        <v>51689567</v>
      </c>
      <c r="D146">
        <v>270718009</v>
      </c>
      <c r="E146">
        <v>1</v>
      </c>
      <c r="F146">
        <v>1</v>
      </c>
      <c r="G146">
        <v>1</v>
      </c>
      <c r="H146">
        <v>3</v>
      </c>
      <c r="I146" t="s">
        <v>485</v>
      </c>
      <c r="J146" t="s">
        <v>486</v>
      </c>
      <c r="K146" t="s">
        <v>487</v>
      </c>
      <c r="L146">
        <v>36015243</v>
      </c>
      <c r="N146">
        <v>1005</v>
      </c>
      <c r="O146" t="s">
        <v>182</v>
      </c>
      <c r="P146" t="s">
        <v>184</v>
      </c>
      <c r="Q146">
        <v>1</v>
      </c>
      <c r="W146">
        <v>0</v>
      </c>
      <c r="X146">
        <v>1449983063</v>
      </c>
      <c r="Y146">
        <v>1.45</v>
      </c>
      <c r="AA146">
        <v>4.6</v>
      </c>
      <c r="AB146">
        <v>0</v>
      </c>
      <c r="AC146">
        <v>0</v>
      </c>
      <c r="AD146">
        <v>0</v>
      </c>
      <c r="AE146">
        <v>4.6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1.45</v>
      </c>
      <c r="AV146">
        <v>0</v>
      </c>
      <c r="AW146">
        <v>2</v>
      </c>
      <c r="AX146">
        <v>51689589</v>
      </c>
      <c r="AY146">
        <v>1</v>
      </c>
      <c r="AZ146">
        <v>0</v>
      </c>
      <c r="BA146">
        <v>139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Y146*Source!I137</f>
        <v>7.25</v>
      </c>
      <c r="CY146">
        <f t="shared" si="12"/>
        <v>4.6</v>
      </c>
      <c r="CZ146">
        <f t="shared" si="13"/>
        <v>4.6</v>
      </c>
      <c r="DA146">
        <f t="shared" si="14"/>
        <v>1</v>
      </c>
      <c r="DB146">
        <f t="shared" si="15"/>
        <v>6.67</v>
      </c>
      <c r="DC146">
        <f t="shared" si="16"/>
        <v>0</v>
      </c>
    </row>
    <row r="147" spans="1:107" ht="12.75">
      <c r="A147">
        <f>ROW(Source!A137)</f>
        <v>137</v>
      </c>
      <c r="B147">
        <v>51669678</v>
      </c>
      <c r="C147">
        <v>51689567</v>
      </c>
      <c r="D147">
        <v>270723982</v>
      </c>
      <c r="E147">
        <v>1</v>
      </c>
      <c r="F147">
        <v>1</v>
      </c>
      <c r="G147">
        <v>1</v>
      </c>
      <c r="H147">
        <v>3</v>
      </c>
      <c r="I147" t="s">
        <v>488</v>
      </c>
      <c r="J147" t="s">
        <v>489</v>
      </c>
      <c r="K147" t="s">
        <v>490</v>
      </c>
      <c r="L147">
        <v>1348</v>
      </c>
      <c r="N147">
        <v>1009</v>
      </c>
      <c r="O147" t="s">
        <v>37</v>
      </c>
      <c r="P147" t="s">
        <v>37</v>
      </c>
      <c r="Q147">
        <v>1000</v>
      </c>
      <c r="W147">
        <v>0</v>
      </c>
      <c r="X147">
        <v>-806456486</v>
      </c>
      <c r="Y147">
        <v>0.003</v>
      </c>
      <c r="AA147">
        <v>10672.41</v>
      </c>
      <c r="AB147">
        <v>0</v>
      </c>
      <c r="AC147">
        <v>0</v>
      </c>
      <c r="AD147">
        <v>0</v>
      </c>
      <c r="AE147">
        <v>10672.41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0.003</v>
      </c>
      <c r="AV147">
        <v>0</v>
      </c>
      <c r="AW147">
        <v>2</v>
      </c>
      <c r="AX147">
        <v>51689590</v>
      </c>
      <c r="AY147">
        <v>1</v>
      </c>
      <c r="AZ147">
        <v>0</v>
      </c>
      <c r="BA147">
        <v>140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Y147*Source!I137</f>
        <v>0.015</v>
      </c>
      <c r="CY147">
        <f t="shared" si="12"/>
        <v>10672.41</v>
      </c>
      <c r="CZ147">
        <f t="shared" si="13"/>
        <v>10672.41</v>
      </c>
      <c r="DA147">
        <f t="shared" si="14"/>
        <v>1</v>
      </c>
      <c r="DB147">
        <f t="shared" si="15"/>
        <v>32.02</v>
      </c>
      <c r="DC147">
        <f t="shared" si="16"/>
        <v>0</v>
      </c>
    </row>
    <row r="148" spans="1:107" ht="12.75">
      <c r="A148">
        <f>ROW(Source!A137)</f>
        <v>137</v>
      </c>
      <c r="B148">
        <v>51669678</v>
      </c>
      <c r="C148">
        <v>51689567</v>
      </c>
      <c r="D148">
        <v>270725084</v>
      </c>
      <c r="E148">
        <v>1</v>
      </c>
      <c r="F148">
        <v>1</v>
      </c>
      <c r="G148">
        <v>1</v>
      </c>
      <c r="H148">
        <v>3</v>
      </c>
      <c r="I148" t="s">
        <v>147</v>
      </c>
      <c r="J148" t="s">
        <v>150</v>
      </c>
      <c r="K148" t="s">
        <v>148</v>
      </c>
      <c r="L148">
        <v>1339</v>
      </c>
      <c r="N148">
        <v>1007</v>
      </c>
      <c r="O148" t="s">
        <v>149</v>
      </c>
      <c r="P148" t="s">
        <v>149</v>
      </c>
      <c r="Q148">
        <v>1</v>
      </c>
      <c r="W148">
        <v>0</v>
      </c>
      <c r="X148">
        <v>-324964049</v>
      </c>
      <c r="Y148">
        <v>1</v>
      </c>
      <c r="AA148">
        <v>12343.63</v>
      </c>
      <c r="AB148">
        <v>0</v>
      </c>
      <c r="AC148">
        <v>0</v>
      </c>
      <c r="AD148">
        <v>0</v>
      </c>
      <c r="AE148">
        <v>2593.2</v>
      </c>
      <c r="AF148">
        <v>0</v>
      </c>
      <c r="AG148">
        <v>0</v>
      </c>
      <c r="AH148">
        <v>0</v>
      </c>
      <c r="AI148">
        <v>4.76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T148">
        <v>1</v>
      </c>
      <c r="AV148">
        <v>0</v>
      </c>
      <c r="AW148">
        <v>1</v>
      </c>
      <c r="AX148">
        <v>-1</v>
      </c>
      <c r="AY148">
        <v>0</v>
      </c>
      <c r="AZ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Y148*Source!I137</f>
        <v>5</v>
      </c>
      <c r="CY148">
        <f t="shared" si="12"/>
        <v>12343.63</v>
      </c>
      <c r="CZ148">
        <f t="shared" si="13"/>
        <v>2593.2</v>
      </c>
      <c r="DA148">
        <f t="shared" si="14"/>
        <v>4.76</v>
      </c>
      <c r="DB148">
        <f t="shared" si="15"/>
        <v>2593.2</v>
      </c>
      <c r="DC148">
        <f t="shared" si="16"/>
        <v>0</v>
      </c>
    </row>
    <row r="149" spans="1:107" ht="12.75">
      <c r="A149">
        <f>ROW(Source!A137)</f>
        <v>137</v>
      </c>
      <c r="B149">
        <v>51669678</v>
      </c>
      <c r="C149">
        <v>51689567</v>
      </c>
      <c r="D149">
        <v>270725089</v>
      </c>
      <c r="E149">
        <v>1</v>
      </c>
      <c r="F149">
        <v>1</v>
      </c>
      <c r="G149">
        <v>1</v>
      </c>
      <c r="H149">
        <v>3</v>
      </c>
      <c r="I149" t="s">
        <v>278</v>
      </c>
      <c r="J149" t="s">
        <v>280</v>
      </c>
      <c r="K149" t="s">
        <v>279</v>
      </c>
      <c r="L149">
        <v>1339</v>
      </c>
      <c r="N149">
        <v>1007</v>
      </c>
      <c r="O149" t="s">
        <v>149</v>
      </c>
      <c r="P149" t="s">
        <v>149</v>
      </c>
      <c r="Q149">
        <v>1</v>
      </c>
      <c r="W149">
        <v>1</v>
      </c>
      <c r="X149">
        <v>1774858116</v>
      </c>
      <c r="Y149">
        <v>-0.93</v>
      </c>
      <c r="AA149">
        <v>9753.03</v>
      </c>
      <c r="AB149">
        <v>0</v>
      </c>
      <c r="AC149">
        <v>0</v>
      </c>
      <c r="AD149">
        <v>0</v>
      </c>
      <c r="AE149">
        <v>1726.2</v>
      </c>
      <c r="AF149">
        <v>0</v>
      </c>
      <c r="AG149">
        <v>0</v>
      </c>
      <c r="AH149">
        <v>0</v>
      </c>
      <c r="AI149">
        <v>5.65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-0.93</v>
      </c>
      <c r="AV149">
        <v>0</v>
      </c>
      <c r="AW149">
        <v>2</v>
      </c>
      <c r="AX149">
        <v>51689591</v>
      </c>
      <c r="AY149">
        <v>1</v>
      </c>
      <c r="AZ149">
        <v>6144</v>
      </c>
      <c r="BA149">
        <v>141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Y149*Source!I137</f>
        <v>-4.65</v>
      </c>
      <c r="CY149">
        <f t="shared" si="12"/>
        <v>9753.03</v>
      </c>
      <c r="CZ149">
        <f t="shared" si="13"/>
        <v>1726.2</v>
      </c>
      <c r="DA149">
        <f t="shared" si="14"/>
        <v>5.65</v>
      </c>
      <c r="DB149">
        <f t="shared" si="15"/>
        <v>-1605.37</v>
      </c>
      <c r="DC149">
        <f t="shared" si="16"/>
        <v>0</v>
      </c>
    </row>
    <row r="150" spans="1:107" ht="12.75">
      <c r="A150">
        <f>ROW(Source!A137)</f>
        <v>137</v>
      </c>
      <c r="B150">
        <v>51669678</v>
      </c>
      <c r="C150">
        <v>51689567</v>
      </c>
      <c r="D150">
        <v>270725263</v>
      </c>
      <c r="E150">
        <v>1</v>
      </c>
      <c r="F150">
        <v>1</v>
      </c>
      <c r="G150">
        <v>1</v>
      </c>
      <c r="H150">
        <v>3</v>
      </c>
      <c r="I150" t="s">
        <v>607</v>
      </c>
      <c r="J150" t="s">
        <v>608</v>
      </c>
      <c r="K150" t="s">
        <v>609</v>
      </c>
      <c r="L150">
        <v>1339</v>
      </c>
      <c r="N150">
        <v>1007</v>
      </c>
      <c r="O150" t="s">
        <v>149</v>
      </c>
      <c r="P150" t="s">
        <v>149</v>
      </c>
      <c r="Q150">
        <v>1</v>
      </c>
      <c r="W150">
        <v>0</v>
      </c>
      <c r="X150">
        <v>-472396422</v>
      </c>
      <c r="Y150">
        <v>0.12</v>
      </c>
      <c r="AA150">
        <v>1979.06</v>
      </c>
      <c r="AB150">
        <v>0</v>
      </c>
      <c r="AC150">
        <v>0</v>
      </c>
      <c r="AD150">
        <v>0</v>
      </c>
      <c r="AE150">
        <v>1979.06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0.12</v>
      </c>
      <c r="AV150">
        <v>0</v>
      </c>
      <c r="AW150">
        <v>2</v>
      </c>
      <c r="AX150">
        <v>51689592</v>
      </c>
      <c r="AY150">
        <v>1</v>
      </c>
      <c r="AZ150">
        <v>0</v>
      </c>
      <c r="BA150">
        <v>142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Y150*Source!I137</f>
        <v>0.6</v>
      </c>
      <c r="CY150">
        <f t="shared" si="12"/>
        <v>1979.06</v>
      </c>
      <c r="CZ150">
        <f t="shared" si="13"/>
        <v>1979.06</v>
      </c>
      <c r="DA150">
        <f t="shared" si="14"/>
        <v>1</v>
      </c>
      <c r="DB150">
        <f t="shared" si="15"/>
        <v>237.49</v>
      </c>
      <c r="DC150">
        <f t="shared" si="16"/>
        <v>0</v>
      </c>
    </row>
    <row r="151" spans="1:107" ht="12.75">
      <c r="A151">
        <f>ROW(Source!A137)</f>
        <v>137</v>
      </c>
      <c r="B151">
        <v>51669678</v>
      </c>
      <c r="C151">
        <v>51689567</v>
      </c>
      <c r="D151">
        <v>270725177</v>
      </c>
      <c r="E151">
        <v>1</v>
      </c>
      <c r="F151">
        <v>1</v>
      </c>
      <c r="G151">
        <v>1</v>
      </c>
      <c r="H151">
        <v>3</v>
      </c>
      <c r="I151" t="s">
        <v>658</v>
      </c>
      <c r="J151" t="s">
        <v>659</v>
      </c>
      <c r="K151" t="s">
        <v>660</v>
      </c>
      <c r="L151">
        <v>1339</v>
      </c>
      <c r="N151">
        <v>1007</v>
      </c>
      <c r="O151" t="s">
        <v>149</v>
      </c>
      <c r="P151" t="s">
        <v>149</v>
      </c>
      <c r="Q151">
        <v>1</v>
      </c>
      <c r="W151">
        <v>0</v>
      </c>
      <c r="X151">
        <v>-1653671698</v>
      </c>
      <c r="Y151">
        <v>0.01</v>
      </c>
      <c r="AA151">
        <v>780.15</v>
      </c>
      <c r="AB151">
        <v>0</v>
      </c>
      <c r="AC151">
        <v>0</v>
      </c>
      <c r="AD151">
        <v>0</v>
      </c>
      <c r="AE151">
        <v>780.15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0.01</v>
      </c>
      <c r="AV151">
        <v>0</v>
      </c>
      <c r="AW151">
        <v>2</v>
      </c>
      <c r="AX151">
        <v>51689593</v>
      </c>
      <c r="AY151">
        <v>1</v>
      </c>
      <c r="AZ151">
        <v>0</v>
      </c>
      <c r="BA151">
        <v>143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Y151*Source!I137</f>
        <v>0.05</v>
      </c>
      <c r="CY151">
        <f t="shared" si="12"/>
        <v>780.15</v>
      </c>
      <c r="CZ151">
        <f t="shared" si="13"/>
        <v>780.15</v>
      </c>
      <c r="DA151">
        <f t="shared" si="14"/>
        <v>1</v>
      </c>
      <c r="DB151">
        <f t="shared" si="15"/>
        <v>7.8</v>
      </c>
      <c r="DC151">
        <f t="shared" si="16"/>
        <v>0</v>
      </c>
    </row>
    <row r="152" spans="1:107" ht="12.75">
      <c r="A152">
        <f>ROW(Source!A137)</f>
        <v>137</v>
      </c>
      <c r="B152">
        <v>51669678</v>
      </c>
      <c r="C152">
        <v>51689567</v>
      </c>
      <c r="D152">
        <v>270733083</v>
      </c>
      <c r="E152">
        <v>1</v>
      </c>
      <c r="F152">
        <v>1</v>
      </c>
      <c r="G152">
        <v>1</v>
      </c>
      <c r="H152">
        <v>3</v>
      </c>
      <c r="I152" t="s">
        <v>491</v>
      </c>
      <c r="J152" t="s">
        <v>492</v>
      </c>
      <c r="K152" t="s">
        <v>493</v>
      </c>
      <c r="L152">
        <v>1348</v>
      </c>
      <c r="N152">
        <v>1009</v>
      </c>
      <c r="O152" t="s">
        <v>37</v>
      </c>
      <c r="P152" t="s">
        <v>37</v>
      </c>
      <c r="Q152">
        <v>1000</v>
      </c>
      <c r="W152">
        <v>0</v>
      </c>
      <c r="X152">
        <v>-786242167</v>
      </c>
      <c r="Y152">
        <v>0.00301</v>
      </c>
      <c r="AA152">
        <v>9903.12</v>
      </c>
      <c r="AB152">
        <v>0</v>
      </c>
      <c r="AC152">
        <v>0</v>
      </c>
      <c r="AD152">
        <v>0</v>
      </c>
      <c r="AE152">
        <v>9903.12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0.00301</v>
      </c>
      <c r="AV152">
        <v>0</v>
      </c>
      <c r="AW152">
        <v>2</v>
      </c>
      <c r="AX152">
        <v>51689594</v>
      </c>
      <c r="AY152">
        <v>1</v>
      </c>
      <c r="AZ152">
        <v>0</v>
      </c>
      <c r="BA152">
        <v>144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Y152*Source!I137</f>
        <v>0.015050000000000001</v>
      </c>
      <c r="CY152">
        <f t="shared" si="12"/>
        <v>9903.12</v>
      </c>
      <c r="CZ152">
        <f t="shared" si="13"/>
        <v>9903.12</v>
      </c>
      <c r="DA152">
        <f t="shared" si="14"/>
        <v>1</v>
      </c>
      <c r="DB152">
        <f t="shared" si="15"/>
        <v>29.81</v>
      </c>
      <c r="DC152">
        <f t="shared" si="16"/>
        <v>0</v>
      </c>
    </row>
    <row r="153" spans="1:107" ht="12.75">
      <c r="A153">
        <f>ROW(Source!A140)</f>
        <v>140</v>
      </c>
      <c r="B153">
        <v>51669678</v>
      </c>
      <c r="C153">
        <v>51672976</v>
      </c>
      <c r="D153">
        <v>202543279</v>
      </c>
      <c r="E153">
        <v>1</v>
      </c>
      <c r="F153">
        <v>1</v>
      </c>
      <c r="G153">
        <v>1</v>
      </c>
      <c r="H153">
        <v>1</v>
      </c>
      <c r="I153" t="s">
        <v>624</v>
      </c>
      <c r="K153" t="s">
        <v>625</v>
      </c>
      <c r="L153">
        <v>1369</v>
      </c>
      <c r="N153">
        <v>1013</v>
      </c>
      <c r="O153" t="s">
        <v>462</v>
      </c>
      <c r="P153" t="s">
        <v>462</v>
      </c>
      <c r="Q153">
        <v>1</v>
      </c>
      <c r="W153">
        <v>0</v>
      </c>
      <c r="X153">
        <v>-1191973502</v>
      </c>
      <c r="Y153">
        <v>40.79624999999999</v>
      </c>
      <c r="AA153">
        <v>0</v>
      </c>
      <c r="AB153">
        <v>0</v>
      </c>
      <c r="AC153">
        <v>0</v>
      </c>
      <c r="AD153">
        <v>17</v>
      </c>
      <c r="AE153">
        <v>0</v>
      </c>
      <c r="AF153">
        <v>0</v>
      </c>
      <c r="AG153">
        <v>0</v>
      </c>
      <c r="AH153">
        <v>17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28.38</v>
      </c>
      <c r="AU153" t="s">
        <v>140</v>
      </c>
      <c r="AV153">
        <v>1</v>
      </c>
      <c r="AW153">
        <v>2</v>
      </c>
      <c r="AX153">
        <v>51672983</v>
      </c>
      <c r="AY153">
        <v>1</v>
      </c>
      <c r="AZ153">
        <v>0</v>
      </c>
      <c r="BA153">
        <v>145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Y153*Source!I140</f>
        <v>248.85712499999994</v>
      </c>
      <c r="CY153">
        <f>AD153</f>
        <v>17</v>
      </c>
      <c r="CZ153">
        <f>AH153</f>
        <v>17</v>
      </c>
      <c r="DA153">
        <f>AL153</f>
        <v>1</v>
      </c>
      <c r="DB153">
        <f>ROUND(((ROUND(AT153*CZ153,2)*1.15)*1.25),2)</f>
        <v>693.54</v>
      </c>
      <c r="DC153">
        <f>ROUND(((ROUND(AT153*AG153,2)*1.15)*1.25),2)</f>
        <v>0</v>
      </c>
    </row>
    <row r="154" spans="1:107" ht="12.75">
      <c r="A154">
        <f>ROW(Source!A140)</f>
        <v>140</v>
      </c>
      <c r="B154">
        <v>51669678</v>
      </c>
      <c r="C154">
        <v>51672976</v>
      </c>
      <c r="D154">
        <v>121548</v>
      </c>
      <c r="E154">
        <v>1</v>
      </c>
      <c r="F154">
        <v>1</v>
      </c>
      <c r="G154">
        <v>1</v>
      </c>
      <c r="H154">
        <v>1</v>
      </c>
      <c r="I154" t="s">
        <v>26</v>
      </c>
      <c r="K154" t="s">
        <v>469</v>
      </c>
      <c r="L154">
        <v>608254</v>
      </c>
      <c r="N154">
        <v>1013</v>
      </c>
      <c r="O154" t="s">
        <v>470</v>
      </c>
      <c r="P154" t="s">
        <v>470</v>
      </c>
      <c r="Q154">
        <v>1</v>
      </c>
      <c r="W154">
        <v>0</v>
      </c>
      <c r="X154">
        <v>-185737400</v>
      </c>
      <c r="Y154">
        <v>0.28125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0.18</v>
      </c>
      <c r="AU154" t="s">
        <v>139</v>
      </c>
      <c r="AV154">
        <v>2</v>
      </c>
      <c r="AW154">
        <v>2</v>
      </c>
      <c r="AX154">
        <v>51672984</v>
      </c>
      <c r="AY154">
        <v>1</v>
      </c>
      <c r="AZ154">
        <v>0</v>
      </c>
      <c r="BA154">
        <v>146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Y154*Source!I140</f>
        <v>1.715625</v>
      </c>
      <c r="CY154">
        <f>AD154</f>
        <v>0</v>
      </c>
      <c r="CZ154">
        <f>AH154</f>
        <v>0</v>
      </c>
      <c r="DA154">
        <f>AL154</f>
        <v>1</v>
      </c>
      <c r="DB154">
        <f>ROUND(((ROUND(AT154*CZ154,2)*1.25)*1.25),2)</f>
        <v>0</v>
      </c>
      <c r="DC154">
        <f>ROUND(((ROUND(AT154*AG154,2)*1.25)*1.25),2)</f>
        <v>0</v>
      </c>
    </row>
    <row r="155" spans="1:107" ht="12.75">
      <c r="A155">
        <f>ROW(Source!A140)</f>
        <v>140</v>
      </c>
      <c r="B155">
        <v>51669678</v>
      </c>
      <c r="C155">
        <v>51672976</v>
      </c>
      <c r="D155">
        <v>270771644</v>
      </c>
      <c r="E155">
        <v>1</v>
      </c>
      <c r="F155">
        <v>1</v>
      </c>
      <c r="G155">
        <v>1</v>
      </c>
      <c r="H155">
        <v>2</v>
      </c>
      <c r="I155" t="s">
        <v>497</v>
      </c>
      <c r="J155" t="s">
        <v>498</v>
      </c>
      <c r="K155" t="s">
        <v>499</v>
      </c>
      <c r="L155">
        <v>1368</v>
      </c>
      <c r="N155">
        <v>1011</v>
      </c>
      <c r="O155" t="s">
        <v>466</v>
      </c>
      <c r="P155" t="s">
        <v>466</v>
      </c>
      <c r="Q155">
        <v>1</v>
      </c>
      <c r="W155">
        <v>0</v>
      </c>
      <c r="X155">
        <v>1104828927</v>
      </c>
      <c r="Y155">
        <v>0.28125</v>
      </c>
      <c r="AA155">
        <v>0</v>
      </c>
      <c r="AB155">
        <v>41.7</v>
      </c>
      <c r="AC155">
        <v>24.53</v>
      </c>
      <c r="AD155">
        <v>0</v>
      </c>
      <c r="AE155">
        <v>0</v>
      </c>
      <c r="AF155">
        <v>41.7</v>
      </c>
      <c r="AG155">
        <v>24.53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0.18</v>
      </c>
      <c r="AU155" t="s">
        <v>139</v>
      </c>
      <c r="AV155">
        <v>0</v>
      </c>
      <c r="AW155">
        <v>2</v>
      </c>
      <c r="AX155">
        <v>51672985</v>
      </c>
      <c r="AY155">
        <v>1</v>
      </c>
      <c r="AZ155">
        <v>0</v>
      </c>
      <c r="BA155">
        <v>147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Y155*Source!I140</f>
        <v>1.715625</v>
      </c>
      <c r="CY155">
        <f>AB155</f>
        <v>41.7</v>
      </c>
      <c r="CZ155">
        <f>AF155</f>
        <v>41.7</v>
      </c>
      <c r="DA155">
        <f>AJ155</f>
        <v>1</v>
      </c>
      <c r="DB155">
        <f>ROUND(((ROUND(AT155*CZ155,2)*1.25)*1.25),2)</f>
        <v>11.73</v>
      </c>
      <c r="DC155">
        <f>ROUND(((ROUND(AT155*AG155,2)*1.25)*1.25),2)</f>
        <v>6.91</v>
      </c>
    </row>
    <row r="156" spans="1:107" ht="12.75">
      <c r="A156">
        <f>ROW(Source!A140)</f>
        <v>140</v>
      </c>
      <c r="B156">
        <v>51669678</v>
      </c>
      <c r="C156">
        <v>51672976</v>
      </c>
      <c r="D156">
        <v>270774071</v>
      </c>
      <c r="E156">
        <v>1</v>
      </c>
      <c r="F156">
        <v>1</v>
      </c>
      <c r="G156">
        <v>1</v>
      </c>
      <c r="H156">
        <v>2</v>
      </c>
      <c r="I156" t="s">
        <v>479</v>
      </c>
      <c r="J156" t="s">
        <v>480</v>
      </c>
      <c r="K156" t="s">
        <v>481</v>
      </c>
      <c r="L156">
        <v>1368</v>
      </c>
      <c r="N156">
        <v>1011</v>
      </c>
      <c r="O156" t="s">
        <v>466</v>
      </c>
      <c r="P156" t="s">
        <v>466</v>
      </c>
      <c r="Q156">
        <v>1</v>
      </c>
      <c r="W156">
        <v>0</v>
      </c>
      <c r="X156">
        <v>1109194647</v>
      </c>
      <c r="Y156">
        <v>1.53125</v>
      </c>
      <c r="AA156">
        <v>0</v>
      </c>
      <c r="AB156">
        <v>119.95</v>
      </c>
      <c r="AC156">
        <v>20.99</v>
      </c>
      <c r="AD156">
        <v>0</v>
      </c>
      <c r="AE156">
        <v>0</v>
      </c>
      <c r="AF156">
        <v>119.95</v>
      </c>
      <c r="AG156">
        <v>20.99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0.98</v>
      </c>
      <c r="AU156" t="s">
        <v>139</v>
      </c>
      <c r="AV156">
        <v>0</v>
      </c>
      <c r="AW156">
        <v>2</v>
      </c>
      <c r="AX156">
        <v>51672986</v>
      </c>
      <c r="AY156">
        <v>1</v>
      </c>
      <c r="AZ156">
        <v>0</v>
      </c>
      <c r="BA156">
        <v>148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Y156*Source!I140</f>
        <v>9.340625</v>
      </c>
      <c r="CY156">
        <f>AB156</f>
        <v>119.95</v>
      </c>
      <c r="CZ156">
        <f>AF156</f>
        <v>119.95</v>
      </c>
      <c r="DA156">
        <f>AJ156</f>
        <v>1</v>
      </c>
      <c r="DB156">
        <f>ROUND(((ROUND(AT156*CZ156,2)*1.25)*1.25),2)</f>
        <v>183.67</v>
      </c>
      <c r="DC156">
        <f>ROUND(((ROUND(AT156*AG156,2)*1.25)*1.25),2)</f>
        <v>32.14</v>
      </c>
    </row>
    <row r="157" spans="1:107" ht="12.75">
      <c r="A157">
        <f>ROW(Source!A140)</f>
        <v>140</v>
      </c>
      <c r="B157">
        <v>51669678</v>
      </c>
      <c r="C157">
        <v>51672976</v>
      </c>
      <c r="D157">
        <v>270728330</v>
      </c>
      <c r="E157">
        <v>1</v>
      </c>
      <c r="F157">
        <v>1</v>
      </c>
      <c r="G157">
        <v>1</v>
      </c>
      <c r="H157">
        <v>3</v>
      </c>
      <c r="I157" t="s">
        <v>289</v>
      </c>
      <c r="J157" t="s">
        <v>291</v>
      </c>
      <c r="K157" t="s">
        <v>290</v>
      </c>
      <c r="L157">
        <v>1339</v>
      </c>
      <c r="N157">
        <v>1007</v>
      </c>
      <c r="O157" t="s">
        <v>149</v>
      </c>
      <c r="P157" t="s">
        <v>149</v>
      </c>
      <c r="Q157">
        <v>1</v>
      </c>
      <c r="W157">
        <v>1</v>
      </c>
      <c r="X157">
        <v>2011032826</v>
      </c>
      <c r="Y157">
        <v>-4.12</v>
      </c>
      <c r="AA157">
        <v>2544.55</v>
      </c>
      <c r="AB157">
        <v>0</v>
      </c>
      <c r="AC157">
        <v>0</v>
      </c>
      <c r="AD157">
        <v>0</v>
      </c>
      <c r="AE157">
        <v>490.28</v>
      </c>
      <c r="AF157">
        <v>0</v>
      </c>
      <c r="AG157">
        <v>0</v>
      </c>
      <c r="AH157">
        <v>0</v>
      </c>
      <c r="AI157">
        <v>5.19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-4.12</v>
      </c>
      <c r="AV157">
        <v>0</v>
      </c>
      <c r="AW157">
        <v>2</v>
      </c>
      <c r="AX157">
        <v>51672987</v>
      </c>
      <c r="AY157">
        <v>1</v>
      </c>
      <c r="AZ157">
        <v>6144</v>
      </c>
      <c r="BA157">
        <v>149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Y157*Source!I140</f>
        <v>-25.131999999999998</v>
      </c>
      <c r="CY157">
        <f>AA157</f>
        <v>2544.55</v>
      </c>
      <c r="CZ157">
        <f>AE157</f>
        <v>490.28</v>
      </c>
      <c r="DA157">
        <f>AI157</f>
        <v>5.19</v>
      </c>
      <c r="DB157">
        <f>ROUND(ROUND(AT157*CZ157,2),2)</f>
        <v>-2019.95</v>
      </c>
      <c r="DC157">
        <f>ROUND(ROUND(AT157*AG157,2),2)</f>
        <v>0</v>
      </c>
    </row>
    <row r="158" spans="1:107" ht="12.75">
      <c r="A158">
        <f>ROW(Source!A140)</f>
        <v>140</v>
      </c>
      <c r="B158">
        <v>51669678</v>
      </c>
      <c r="C158">
        <v>51672976</v>
      </c>
      <c r="D158">
        <v>0</v>
      </c>
      <c r="E158">
        <v>1</v>
      </c>
      <c r="F158">
        <v>1</v>
      </c>
      <c r="G158">
        <v>1</v>
      </c>
      <c r="H158">
        <v>3</v>
      </c>
      <c r="I158" t="s">
        <v>200</v>
      </c>
      <c r="K158" t="s">
        <v>293</v>
      </c>
      <c r="L158">
        <v>36015243</v>
      </c>
      <c r="N158">
        <v>1005</v>
      </c>
      <c r="O158" t="s">
        <v>182</v>
      </c>
      <c r="P158" t="s">
        <v>184</v>
      </c>
      <c r="Q158">
        <v>1</v>
      </c>
      <c r="W158">
        <v>0</v>
      </c>
      <c r="X158">
        <v>-1708666490</v>
      </c>
      <c r="Y158">
        <v>105</v>
      </c>
      <c r="AA158">
        <v>183.33</v>
      </c>
      <c r="AB158">
        <v>0</v>
      </c>
      <c r="AC158">
        <v>0</v>
      </c>
      <c r="AD158">
        <v>0</v>
      </c>
      <c r="AE158">
        <v>183.33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T158">
        <v>105</v>
      </c>
      <c r="AV158">
        <v>0</v>
      </c>
      <c r="AW158">
        <v>1</v>
      </c>
      <c r="AX158">
        <v>-1</v>
      </c>
      <c r="AY158">
        <v>0</v>
      </c>
      <c r="AZ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Y158*Source!I140</f>
        <v>640.5</v>
      </c>
      <c r="CY158">
        <f>AA158</f>
        <v>183.33</v>
      </c>
      <c r="CZ158">
        <f>AE158</f>
        <v>183.33</v>
      </c>
      <c r="DA158">
        <f>AI158</f>
        <v>1</v>
      </c>
      <c r="DB158">
        <f>ROUND(ROUND(AT158*CZ158,2),2)</f>
        <v>19249.65</v>
      </c>
      <c r="DC158">
        <f>ROUND(ROUND(AT158*AG158,2),2)</f>
        <v>0</v>
      </c>
    </row>
    <row r="159" spans="1:107" ht="12.75">
      <c r="A159">
        <f>ROW(Source!A143)</f>
        <v>143</v>
      </c>
      <c r="B159">
        <v>51669678</v>
      </c>
      <c r="C159">
        <v>51672990</v>
      </c>
      <c r="D159">
        <v>202548993</v>
      </c>
      <c r="E159">
        <v>1</v>
      </c>
      <c r="F159">
        <v>1</v>
      </c>
      <c r="G159">
        <v>1</v>
      </c>
      <c r="H159">
        <v>1</v>
      </c>
      <c r="I159" t="s">
        <v>474</v>
      </c>
      <c r="K159" t="s">
        <v>475</v>
      </c>
      <c r="L159">
        <v>1369</v>
      </c>
      <c r="N159">
        <v>1013</v>
      </c>
      <c r="O159" t="s">
        <v>462</v>
      </c>
      <c r="P159" t="s">
        <v>462</v>
      </c>
      <c r="Q159">
        <v>1</v>
      </c>
      <c r="W159">
        <v>0</v>
      </c>
      <c r="X159">
        <v>888074361</v>
      </c>
      <c r="Y159">
        <v>87.28499999999998</v>
      </c>
      <c r="AA159">
        <v>0</v>
      </c>
      <c r="AB159">
        <v>0</v>
      </c>
      <c r="AC159">
        <v>0</v>
      </c>
      <c r="AD159">
        <v>16.17</v>
      </c>
      <c r="AE159">
        <v>0</v>
      </c>
      <c r="AF159">
        <v>0</v>
      </c>
      <c r="AG159">
        <v>0</v>
      </c>
      <c r="AH159">
        <v>16.17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60.72</v>
      </c>
      <c r="AU159" t="s">
        <v>140</v>
      </c>
      <c r="AV159">
        <v>1</v>
      </c>
      <c r="AW159">
        <v>2</v>
      </c>
      <c r="AX159">
        <v>51672999</v>
      </c>
      <c r="AY159">
        <v>1</v>
      </c>
      <c r="AZ159">
        <v>0</v>
      </c>
      <c r="BA159">
        <v>150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Y159*Source!I143</f>
        <v>593.5379999999999</v>
      </c>
      <c r="CY159">
        <f>AD159</f>
        <v>16.17</v>
      </c>
      <c r="CZ159">
        <f>AH159</f>
        <v>16.17</v>
      </c>
      <c r="DA159">
        <f>AL159</f>
        <v>1</v>
      </c>
      <c r="DB159">
        <f>ROUND(((ROUND(AT159*CZ159,2)*1.15)*1.25),2)</f>
        <v>1411.4</v>
      </c>
      <c r="DC159">
        <f>ROUND(((ROUND(AT159*AG159,2)*1.15)*1.25),2)</f>
        <v>0</v>
      </c>
    </row>
    <row r="160" spans="1:107" ht="12.75">
      <c r="A160">
        <f>ROW(Source!A143)</f>
        <v>143</v>
      </c>
      <c r="B160">
        <v>51669678</v>
      </c>
      <c r="C160">
        <v>51672990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26</v>
      </c>
      <c r="K160" t="s">
        <v>469</v>
      </c>
      <c r="L160">
        <v>608254</v>
      </c>
      <c r="N160">
        <v>1013</v>
      </c>
      <c r="O160" t="s">
        <v>470</v>
      </c>
      <c r="P160" t="s">
        <v>470</v>
      </c>
      <c r="Q160">
        <v>1</v>
      </c>
      <c r="W160">
        <v>0</v>
      </c>
      <c r="X160">
        <v>-185737400</v>
      </c>
      <c r="Y160">
        <v>0.90625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0.58</v>
      </c>
      <c r="AU160" t="s">
        <v>139</v>
      </c>
      <c r="AV160">
        <v>2</v>
      </c>
      <c r="AW160">
        <v>2</v>
      </c>
      <c r="AX160">
        <v>51673000</v>
      </c>
      <c r="AY160">
        <v>1</v>
      </c>
      <c r="AZ160">
        <v>0</v>
      </c>
      <c r="BA160">
        <v>151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Y160*Source!I143</f>
        <v>6.1625</v>
      </c>
      <c r="CY160">
        <f>AD160</f>
        <v>0</v>
      </c>
      <c r="CZ160">
        <f>AH160</f>
        <v>0</v>
      </c>
      <c r="DA160">
        <f>AL160</f>
        <v>1</v>
      </c>
      <c r="DB160">
        <f>ROUND(((ROUND(AT160*CZ160,2)*1.25)*1.25),2)</f>
        <v>0</v>
      </c>
      <c r="DC160">
        <f>ROUND(((ROUND(AT160*AG160,2)*1.25)*1.25),2)</f>
        <v>0</v>
      </c>
    </row>
    <row r="161" spans="1:107" ht="12.75">
      <c r="A161">
        <f>ROW(Source!A143)</f>
        <v>143</v>
      </c>
      <c r="B161">
        <v>51669678</v>
      </c>
      <c r="C161">
        <v>51672990</v>
      </c>
      <c r="D161">
        <v>270771644</v>
      </c>
      <c r="E161">
        <v>1</v>
      </c>
      <c r="F161">
        <v>1</v>
      </c>
      <c r="G161">
        <v>1</v>
      </c>
      <c r="H161">
        <v>2</v>
      </c>
      <c r="I161" t="s">
        <v>497</v>
      </c>
      <c r="J161" t="s">
        <v>498</v>
      </c>
      <c r="K161" t="s">
        <v>499</v>
      </c>
      <c r="L161">
        <v>1368</v>
      </c>
      <c r="N161">
        <v>1011</v>
      </c>
      <c r="O161" t="s">
        <v>466</v>
      </c>
      <c r="P161" t="s">
        <v>466</v>
      </c>
      <c r="Q161">
        <v>1</v>
      </c>
      <c r="W161">
        <v>0</v>
      </c>
      <c r="X161">
        <v>1104828927</v>
      </c>
      <c r="Y161">
        <v>0.90625</v>
      </c>
      <c r="AA161">
        <v>0</v>
      </c>
      <c r="AB161">
        <v>41.7</v>
      </c>
      <c r="AC161">
        <v>24.53</v>
      </c>
      <c r="AD161">
        <v>0</v>
      </c>
      <c r="AE161">
        <v>0</v>
      </c>
      <c r="AF161">
        <v>41.7</v>
      </c>
      <c r="AG161">
        <v>24.53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0.58</v>
      </c>
      <c r="AU161" t="s">
        <v>139</v>
      </c>
      <c r="AV161">
        <v>0</v>
      </c>
      <c r="AW161">
        <v>2</v>
      </c>
      <c r="AX161">
        <v>51673001</v>
      </c>
      <c r="AY161">
        <v>1</v>
      </c>
      <c r="AZ161">
        <v>0</v>
      </c>
      <c r="BA161">
        <v>152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Y161*Source!I143</f>
        <v>6.1625</v>
      </c>
      <c r="CY161">
        <f>AB161</f>
        <v>41.7</v>
      </c>
      <c r="CZ161">
        <f>AF161</f>
        <v>41.7</v>
      </c>
      <c r="DA161">
        <f>AJ161</f>
        <v>1</v>
      </c>
      <c r="DB161">
        <f>ROUND(((ROUND(AT161*CZ161,2)*1.25)*1.25),2)</f>
        <v>37.8</v>
      </c>
      <c r="DC161">
        <f>ROUND(((ROUND(AT161*AG161,2)*1.25)*1.25),2)</f>
        <v>22.23</v>
      </c>
    </row>
    <row r="162" spans="1:107" ht="12.75">
      <c r="A162">
        <f>ROW(Source!A143)</f>
        <v>143</v>
      </c>
      <c r="B162">
        <v>51669678</v>
      </c>
      <c r="C162">
        <v>51672990</v>
      </c>
      <c r="D162">
        <v>270773735</v>
      </c>
      <c r="E162">
        <v>1</v>
      </c>
      <c r="F162">
        <v>1</v>
      </c>
      <c r="G162">
        <v>1</v>
      </c>
      <c r="H162">
        <v>2</v>
      </c>
      <c r="I162" t="s">
        <v>551</v>
      </c>
      <c r="J162" t="s">
        <v>552</v>
      </c>
      <c r="K162" t="s">
        <v>553</v>
      </c>
      <c r="L162">
        <v>1368</v>
      </c>
      <c r="N162">
        <v>1011</v>
      </c>
      <c r="O162" t="s">
        <v>466</v>
      </c>
      <c r="P162" t="s">
        <v>466</v>
      </c>
      <c r="Q162">
        <v>1</v>
      </c>
      <c r="W162">
        <v>0</v>
      </c>
      <c r="X162">
        <v>1777287797</v>
      </c>
      <c r="Y162">
        <v>1.28125</v>
      </c>
      <c r="AA162">
        <v>0</v>
      </c>
      <c r="AB162">
        <v>0.98</v>
      </c>
      <c r="AC162">
        <v>0</v>
      </c>
      <c r="AD162">
        <v>0</v>
      </c>
      <c r="AE162">
        <v>0</v>
      </c>
      <c r="AF162">
        <v>0.98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0.82</v>
      </c>
      <c r="AU162" t="s">
        <v>139</v>
      </c>
      <c r="AV162">
        <v>0</v>
      </c>
      <c r="AW162">
        <v>2</v>
      </c>
      <c r="AX162">
        <v>51673002</v>
      </c>
      <c r="AY162">
        <v>1</v>
      </c>
      <c r="AZ162">
        <v>0</v>
      </c>
      <c r="BA162">
        <v>153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Y162*Source!I143</f>
        <v>8.7125</v>
      </c>
      <c r="CY162">
        <f>AB162</f>
        <v>0.98</v>
      </c>
      <c r="CZ162">
        <f>AF162</f>
        <v>0.98</v>
      </c>
      <c r="DA162">
        <f>AJ162</f>
        <v>1</v>
      </c>
      <c r="DB162">
        <f>ROUND(((ROUND(AT162*CZ162,2)*1.25)*1.25),2)</f>
        <v>1.25</v>
      </c>
      <c r="DC162">
        <f>ROUND(((ROUND(AT162*AG162,2)*1.25)*1.25),2)</f>
        <v>0</v>
      </c>
    </row>
    <row r="163" spans="1:107" ht="12.75">
      <c r="A163">
        <f>ROW(Source!A143)</f>
        <v>143</v>
      </c>
      <c r="B163">
        <v>51669678</v>
      </c>
      <c r="C163">
        <v>51672990</v>
      </c>
      <c r="D163">
        <v>270773807</v>
      </c>
      <c r="E163">
        <v>1</v>
      </c>
      <c r="F163">
        <v>1</v>
      </c>
      <c r="G163">
        <v>1</v>
      </c>
      <c r="H163">
        <v>2</v>
      </c>
      <c r="I163" t="s">
        <v>661</v>
      </c>
      <c r="J163" t="s">
        <v>662</v>
      </c>
      <c r="K163" t="s">
        <v>663</v>
      </c>
      <c r="L163">
        <v>1368</v>
      </c>
      <c r="N163">
        <v>1011</v>
      </c>
      <c r="O163" t="s">
        <v>466</v>
      </c>
      <c r="P163" t="s">
        <v>466</v>
      </c>
      <c r="Q163">
        <v>1</v>
      </c>
      <c r="W163">
        <v>0</v>
      </c>
      <c r="X163">
        <v>-568454679</v>
      </c>
      <c r="Y163">
        <v>4.21875</v>
      </c>
      <c r="AA163">
        <v>0</v>
      </c>
      <c r="AB163">
        <v>2.15</v>
      </c>
      <c r="AC163">
        <v>0</v>
      </c>
      <c r="AD163">
        <v>0</v>
      </c>
      <c r="AE163">
        <v>0</v>
      </c>
      <c r="AF163">
        <v>2.15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2.7</v>
      </c>
      <c r="AU163" t="s">
        <v>139</v>
      </c>
      <c r="AV163">
        <v>0</v>
      </c>
      <c r="AW163">
        <v>2</v>
      </c>
      <c r="AX163">
        <v>51673003</v>
      </c>
      <c r="AY163">
        <v>1</v>
      </c>
      <c r="AZ163">
        <v>0</v>
      </c>
      <c r="BA163">
        <v>154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Y163*Source!I143</f>
        <v>28.6875</v>
      </c>
      <c r="CY163">
        <f>AB163</f>
        <v>2.15</v>
      </c>
      <c r="CZ163">
        <f>AF163</f>
        <v>2.15</v>
      </c>
      <c r="DA163">
        <f>AJ163</f>
        <v>1</v>
      </c>
      <c r="DB163">
        <f>ROUND(((ROUND(AT163*CZ163,2)*1.25)*1.25),2)</f>
        <v>9.08</v>
      </c>
      <c r="DC163">
        <f>ROUND(((ROUND(AT163*AG163,2)*1.25)*1.25),2)</f>
        <v>0</v>
      </c>
    </row>
    <row r="164" spans="1:107" ht="12.75">
      <c r="A164">
        <f>ROW(Source!A143)</f>
        <v>143</v>
      </c>
      <c r="B164">
        <v>51669678</v>
      </c>
      <c r="C164">
        <v>51672990</v>
      </c>
      <c r="D164">
        <v>270774071</v>
      </c>
      <c r="E164">
        <v>1</v>
      </c>
      <c r="F164">
        <v>1</v>
      </c>
      <c r="G164">
        <v>1</v>
      </c>
      <c r="H164">
        <v>2</v>
      </c>
      <c r="I164" t="s">
        <v>479</v>
      </c>
      <c r="J164" t="s">
        <v>480</v>
      </c>
      <c r="K164" t="s">
        <v>481</v>
      </c>
      <c r="L164">
        <v>1368</v>
      </c>
      <c r="N164">
        <v>1011</v>
      </c>
      <c r="O164" t="s">
        <v>466</v>
      </c>
      <c r="P164" t="s">
        <v>466</v>
      </c>
      <c r="Q164">
        <v>1</v>
      </c>
      <c r="W164">
        <v>0</v>
      </c>
      <c r="X164">
        <v>1109194647</v>
      </c>
      <c r="Y164">
        <v>1.3125</v>
      </c>
      <c r="AA164">
        <v>0</v>
      </c>
      <c r="AB164">
        <v>119.95</v>
      </c>
      <c r="AC164">
        <v>20.99</v>
      </c>
      <c r="AD164">
        <v>0</v>
      </c>
      <c r="AE164">
        <v>0</v>
      </c>
      <c r="AF164">
        <v>119.95</v>
      </c>
      <c r="AG164">
        <v>20.99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0.84</v>
      </c>
      <c r="AU164" t="s">
        <v>139</v>
      </c>
      <c r="AV164">
        <v>0</v>
      </c>
      <c r="AW164">
        <v>2</v>
      </c>
      <c r="AX164">
        <v>51673004</v>
      </c>
      <c r="AY164">
        <v>1</v>
      </c>
      <c r="AZ164">
        <v>0</v>
      </c>
      <c r="BA164">
        <v>155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Y164*Source!I143</f>
        <v>8.924999999999999</v>
      </c>
      <c r="CY164">
        <f>AB164</f>
        <v>119.95</v>
      </c>
      <c r="CZ164">
        <f>AF164</f>
        <v>119.95</v>
      </c>
      <c r="DA164">
        <f>AJ164</f>
        <v>1</v>
      </c>
      <c r="DB164">
        <f>ROUND(((ROUND(AT164*CZ164,2)*1.25)*1.25),2)</f>
        <v>157.44</v>
      </c>
      <c r="DC164">
        <f>ROUND(((ROUND(AT164*AG164,2)*1.25)*1.25),2)</f>
        <v>27.55</v>
      </c>
    </row>
    <row r="165" spans="1:107" ht="12.75">
      <c r="A165">
        <f>ROW(Source!A143)</f>
        <v>143</v>
      </c>
      <c r="B165">
        <v>51669678</v>
      </c>
      <c r="C165">
        <v>51672990</v>
      </c>
      <c r="D165">
        <v>270723982</v>
      </c>
      <c r="E165">
        <v>1</v>
      </c>
      <c r="F165">
        <v>1</v>
      </c>
      <c r="G165">
        <v>1</v>
      </c>
      <c r="H165">
        <v>3</v>
      </c>
      <c r="I165" t="s">
        <v>488</v>
      </c>
      <c r="J165" t="s">
        <v>489</v>
      </c>
      <c r="K165" t="s">
        <v>490</v>
      </c>
      <c r="L165">
        <v>1348</v>
      </c>
      <c r="N165">
        <v>1009</v>
      </c>
      <c r="O165" t="s">
        <v>37</v>
      </c>
      <c r="P165" t="s">
        <v>37</v>
      </c>
      <c r="Q165">
        <v>1000</v>
      </c>
      <c r="W165">
        <v>0</v>
      </c>
      <c r="X165">
        <v>-806456486</v>
      </c>
      <c r="Y165">
        <v>0.0123</v>
      </c>
      <c r="AA165">
        <v>10672.41</v>
      </c>
      <c r="AB165">
        <v>0</v>
      </c>
      <c r="AC165">
        <v>0</v>
      </c>
      <c r="AD165">
        <v>0</v>
      </c>
      <c r="AE165">
        <v>10672.41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0.0123</v>
      </c>
      <c r="AV165">
        <v>0</v>
      </c>
      <c r="AW165">
        <v>2</v>
      </c>
      <c r="AX165">
        <v>51673005</v>
      </c>
      <c r="AY165">
        <v>1</v>
      </c>
      <c r="AZ165">
        <v>0</v>
      </c>
      <c r="BA165">
        <v>156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Y165*Source!I143</f>
        <v>0.08363999999999999</v>
      </c>
      <c r="CY165">
        <f>AA165</f>
        <v>10672.41</v>
      </c>
      <c r="CZ165">
        <f>AE165</f>
        <v>10672.41</v>
      </c>
      <c r="DA165">
        <f>AI165</f>
        <v>1</v>
      </c>
      <c r="DB165">
        <f>ROUND(ROUND(AT165*CZ165,2),2)</f>
        <v>131.27</v>
      </c>
      <c r="DC165">
        <f>ROUND(ROUND(AT165*AG165,2),2)</f>
        <v>0</v>
      </c>
    </row>
    <row r="166" spans="1:107" ht="12.75">
      <c r="A166">
        <f>ROW(Source!A143)</f>
        <v>143</v>
      </c>
      <c r="B166">
        <v>51669678</v>
      </c>
      <c r="C166">
        <v>51672990</v>
      </c>
      <c r="D166">
        <v>270712794</v>
      </c>
      <c r="E166">
        <v>1</v>
      </c>
      <c r="F166">
        <v>1</v>
      </c>
      <c r="G166">
        <v>1</v>
      </c>
      <c r="H166">
        <v>3</v>
      </c>
      <c r="I166" t="s">
        <v>664</v>
      </c>
      <c r="J166" t="s">
        <v>665</v>
      </c>
      <c r="K166" t="s">
        <v>666</v>
      </c>
      <c r="L166">
        <v>1339</v>
      </c>
      <c r="N166">
        <v>1007</v>
      </c>
      <c r="O166" t="s">
        <v>149</v>
      </c>
      <c r="P166" t="s">
        <v>149</v>
      </c>
      <c r="Q166">
        <v>1</v>
      </c>
      <c r="W166">
        <v>0</v>
      </c>
      <c r="X166">
        <v>1091610000</v>
      </c>
      <c r="Y166">
        <v>2.88</v>
      </c>
      <c r="AA166">
        <v>1941.16</v>
      </c>
      <c r="AB166">
        <v>0</v>
      </c>
      <c r="AC166">
        <v>0</v>
      </c>
      <c r="AD166">
        <v>0</v>
      </c>
      <c r="AE166">
        <v>1941.16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2.88</v>
      </c>
      <c r="AV166">
        <v>0</v>
      </c>
      <c r="AW166">
        <v>2</v>
      </c>
      <c r="AX166">
        <v>51673006</v>
      </c>
      <c r="AY166">
        <v>1</v>
      </c>
      <c r="AZ166">
        <v>0</v>
      </c>
      <c r="BA166">
        <v>157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Y166*Source!I143</f>
        <v>19.584</v>
      </c>
      <c r="CY166">
        <f>AA166</f>
        <v>1941.16</v>
      </c>
      <c r="CZ166">
        <f>AE166</f>
        <v>1941.16</v>
      </c>
      <c r="DA166">
        <f>AI166</f>
        <v>1</v>
      </c>
      <c r="DB166">
        <f>ROUND(ROUND(AT166*CZ166,2),2)</f>
        <v>5590.54</v>
      </c>
      <c r="DC166">
        <f>ROUND(ROUND(AT166*AG166,2),2)</f>
        <v>0</v>
      </c>
    </row>
    <row r="167" spans="1:107" ht="12.75">
      <c r="A167">
        <f>ROW(Source!A178)</f>
        <v>178</v>
      </c>
      <c r="B167">
        <v>51669678</v>
      </c>
      <c r="C167">
        <v>51670325</v>
      </c>
      <c r="D167">
        <v>202548993</v>
      </c>
      <c r="E167">
        <v>1</v>
      </c>
      <c r="F167">
        <v>1</v>
      </c>
      <c r="G167">
        <v>1</v>
      </c>
      <c r="H167">
        <v>1</v>
      </c>
      <c r="I167" t="s">
        <v>474</v>
      </c>
      <c r="K167" t="s">
        <v>475</v>
      </c>
      <c r="L167">
        <v>1369</v>
      </c>
      <c r="N167">
        <v>1013</v>
      </c>
      <c r="O167" t="s">
        <v>462</v>
      </c>
      <c r="P167" t="s">
        <v>462</v>
      </c>
      <c r="Q167">
        <v>1</v>
      </c>
      <c r="W167">
        <v>0</v>
      </c>
      <c r="X167">
        <v>888074361</v>
      </c>
      <c r="Y167">
        <v>45.151875</v>
      </c>
      <c r="AA167">
        <v>0</v>
      </c>
      <c r="AB167">
        <v>0</v>
      </c>
      <c r="AC167">
        <v>0</v>
      </c>
      <c r="AD167">
        <v>16.17</v>
      </c>
      <c r="AE167">
        <v>0</v>
      </c>
      <c r="AF167">
        <v>0</v>
      </c>
      <c r="AG167">
        <v>0</v>
      </c>
      <c r="AH167">
        <v>16.17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31.41</v>
      </c>
      <c r="AU167" t="s">
        <v>519</v>
      </c>
      <c r="AV167">
        <v>1</v>
      </c>
      <c r="AW167">
        <v>2</v>
      </c>
      <c r="AX167">
        <v>51670348</v>
      </c>
      <c r="AY167">
        <v>1</v>
      </c>
      <c r="AZ167">
        <v>0</v>
      </c>
      <c r="BA167">
        <v>158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Y167*Source!I178</f>
        <v>28.44568125</v>
      </c>
      <c r="CY167">
        <f>AD167</f>
        <v>16.17</v>
      </c>
      <c r="CZ167">
        <f>AH167</f>
        <v>16.17</v>
      </c>
      <c r="DA167">
        <f>AL167</f>
        <v>1</v>
      </c>
      <c r="DB167">
        <f>ROUND(((ROUND(AT167*CZ167,2)*1.15)*1.25),2)</f>
        <v>730.11</v>
      </c>
      <c r="DC167">
        <f>ROUND(((ROUND(AT167*AG167,2)*1.15)*1.25),2)</f>
        <v>0</v>
      </c>
    </row>
    <row r="168" spans="1:107" ht="12.75">
      <c r="A168">
        <f>ROW(Source!A178)</f>
        <v>178</v>
      </c>
      <c r="B168">
        <v>51669678</v>
      </c>
      <c r="C168">
        <v>51670325</v>
      </c>
      <c r="D168">
        <v>121548</v>
      </c>
      <c r="E168">
        <v>1</v>
      </c>
      <c r="F168">
        <v>1</v>
      </c>
      <c r="G168">
        <v>1</v>
      </c>
      <c r="H168">
        <v>1</v>
      </c>
      <c r="I168" t="s">
        <v>26</v>
      </c>
      <c r="K168" t="s">
        <v>469</v>
      </c>
      <c r="L168">
        <v>608254</v>
      </c>
      <c r="N168">
        <v>1013</v>
      </c>
      <c r="O168" t="s">
        <v>470</v>
      </c>
      <c r="P168" t="s">
        <v>470</v>
      </c>
      <c r="Q168">
        <v>1</v>
      </c>
      <c r="W168">
        <v>0</v>
      </c>
      <c r="X168">
        <v>-185737400</v>
      </c>
      <c r="Y168">
        <v>0.25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0.16</v>
      </c>
      <c r="AU168" t="s">
        <v>520</v>
      </c>
      <c r="AV168">
        <v>2</v>
      </c>
      <c r="AW168">
        <v>2</v>
      </c>
      <c r="AX168">
        <v>51670349</v>
      </c>
      <c r="AY168">
        <v>1</v>
      </c>
      <c r="AZ168">
        <v>0</v>
      </c>
      <c r="BA168">
        <v>159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Y168*Source!I178</f>
        <v>0.1575</v>
      </c>
      <c r="CY168">
        <f>AD168</f>
        <v>0</v>
      </c>
      <c r="CZ168">
        <f>AH168</f>
        <v>0</v>
      </c>
      <c r="DA168">
        <f>AL168</f>
        <v>1</v>
      </c>
      <c r="DB168">
        <f>ROUND(((ROUND(AT168*CZ168,2)*1.25)*1.25),2)</f>
        <v>0</v>
      </c>
      <c r="DC168">
        <f>ROUND(((ROUND(AT168*AG168,2)*1.25)*1.25),2)</f>
        <v>0</v>
      </c>
    </row>
    <row r="169" spans="1:107" ht="12.75">
      <c r="A169">
        <f>ROW(Source!A178)</f>
        <v>178</v>
      </c>
      <c r="B169">
        <v>51669678</v>
      </c>
      <c r="C169">
        <v>51670325</v>
      </c>
      <c r="D169">
        <v>270771356</v>
      </c>
      <c r="E169">
        <v>1</v>
      </c>
      <c r="F169">
        <v>1</v>
      </c>
      <c r="G169">
        <v>1</v>
      </c>
      <c r="H169">
        <v>2</v>
      </c>
      <c r="I169" t="s">
        <v>471</v>
      </c>
      <c r="J169" t="s">
        <v>472</v>
      </c>
      <c r="K169" t="s">
        <v>473</v>
      </c>
      <c r="L169">
        <v>1368</v>
      </c>
      <c r="N169">
        <v>1011</v>
      </c>
      <c r="O169" t="s">
        <v>466</v>
      </c>
      <c r="P169" t="s">
        <v>466</v>
      </c>
      <c r="Q169">
        <v>1</v>
      </c>
      <c r="W169">
        <v>0</v>
      </c>
      <c r="X169">
        <v>-435889032</v>
      </c>
      <c r="Y169">
        <v>0.171875</v>
      </c>
      <c r="AA169">
        <v>0</v>
      </c>
      <c r="AB169">
        <v>98.9</v>
      </c>
      <c r="AC169">
        <v>24.53</v>
      </c>
      <c r="AD169">
        <v>0</v>
      </c>
      <c r="AE169">
        <v>0</v>
      </c>
      <c r="AF169">
        <v>98.9</v>
      </c>
      <c r="AG169">
        <v>24.53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0.11</v>
      </c>
      <c r="AU169" t="s">
        <v>139</v>
      </c>
      <c r="AV169">
        <v>0</v>
      </c>
      <c r="AW169">
        <v>2</v>
      </c>
      <c r="AX169">
        <v>51670350</v>
      </c>
      <c r="AY169">
        <v>1</v>
      </c>
      <c r="AZ169">
        <v>0</v>
      </c>
      <c r="BA169">
        <v>160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Y169*Source!I178</f>
        <v>0.10828125</v>
      </c>
      <c r="CY169">
        <f>AB169</f>
        <v>98.9</v>
      </c>
      <c r="CZ169">
        <f>AF169</f>
        <v>98.9</v>
      </c>
      <c r="DA169">
        <f>AJ169</f>
        <v>1</v>
      </c>
      <c r="DB169">
        <f>ROUND(((ROUND(AT169*CZ169,2)*1.25)*1.25),2)</f>
        <v>17</v>
      </c>
      <c r="DC169">
        <f>ROUND(((ROUND(AT169*AG169,2)*1.25)*1.25),2)</f>
        <v>4.22</v>
      </c>
    </row>
    <row r="170" spans="1:107" ht="12.75">
      <c r="A170">
        <f>ROW(Source!A178)</f>
        <v>178</v>
      </c>
      <c r="B170">
        <v>51669678</v>
      </c>
      <c r="C170">
        <v>51670325</v>
      </c>
      <c r="D170">
        <v>270771467</v>
      </c>
      <c r="E170">
        <v>1</v>
      </c>
      <c r="F170">
        <v>1</v>
      </c>
      <c r="G170">
        <v>1</v>
      </c>
      <c r="H170">
        <v>2</v>
      </c>
      <c r="I170" t="s">
        <v>476</v>
      </c>
      <c r="J170" t="s">
        <v>477</v>
      </c>
      <c r="K170" t="s">
        <v>478</v>
      </c>
      <c r="L170">
        <v>1368</v>
      </c>
      <c r="N170">
        <v>1011</v>
      </c>
      <c r="O170" t="s">
        <v>466</v>
      </c>
      <c r="P170" t="s">
        <v>466</v>
      </c>
      <c r="Q170">
        <v>1</v>
      </c>
      <c r="W170">
        <v>0</v>
      </c>
      <c r="X170">
        <v>1617131323</v>
      </c>
      <c r="Y170">
        <v>0.078125</v>
      </c>
      <c r="AA170">
        <v>0</v>
      </c>
      <c r="AB170">
        <v>125.73</v>
      </c>
      <c r="AC170">
        <v>24.53</v>
      </c>
      <c r="AD170">
        <v>0</v>
      </c>
      <c r="AE170">
        <v>0</v>
      </c>
      <c r="AF170">
        <v>125.73</v>
      </c>
      <c r="AG170">
        <v>24.53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0.05</v>
      </c>
      <c r="AU170" t="s">
        <v>139</v>
      </c>
      <c r="AV170">
        <v>0</v>
      </c>
      <c r="AW170">
        <v>2</v>
      </c>
      <c r="AX170">
        <v>51670351</v>
      </c>
      <c r="AY170">
        <v>1</v>
      </c>
      <c r="AZ170">
        <v>0</v>
      </c>
      <c r="BA170">
        <v>161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Y170*Source!I178</f>
        <v>0.04921875</v>
      </c>
      <c r="CY170">
        <f>AB170</f>
        <v>125.73</v>
      </c>
      <c r="CZ170">
        <f>AF170</f>
        <v>125.73</v>
      </c>
      <c r="DA170">
        <f>AJ170</f>
        <v>1</v>
      </c>
      <c r="DB170">
        <f>ROUND(((ROUND(AT170*CZ170,2)*1.25)*1.25),2)</f>
        <v>9.83</v>
      </c>
      <c r="DC170">
        <f>ROUND(((ROUND(AT170*AG170,2)*1.25)*1.25),2)</f>
        <v>1.92</v>
      </c>
    </row>
    <row r="171" spans="1:107" ht="12.75">
      <c r="A171">
        <f>ROW(Source!A178)</f>
        <v>178</v>
      </c>
      <c r="B171">
        <v>51669678</v>
      </c>
      <c r="C171">
        <v>51670325</v>
      </c>
      <c r="D171">
        <v>270774071</v>
      </c>
      <c r="E171">
        <v>1</v>
      </c>
      <c r="F171">
        <v>1</v>
      </c>
      <c r="G171">
        <v>1</v>
      </c>
      <c r="H171">
        <v>2</v>
      </c>
      <c r="I171" t="s">
        <v>479</v>
      </c>
      <c r="J171" t="s">
        <v>480</v>
      </c>
      <c r="K171" t="s">
        <v>481</v>
      </c>
      <c r="L171">
        <v>1368</v>
      </c>
      <c r="N171">
        <v>1011</v>
      </c>
      <c r="O171" t="s">
        <v>466</v>
      </c>
      <c r="P171" t="s">
        <v>466</v>
      </c>
      <c r="Q171">
        <v>1</v>
      </c>
      <c r="W171">
        <v>0</v>
      </c>
      <c r="X171">
        <v>1109194647</v>
      </c>
      <c r="Y171">
        <v>0.140625</v>
      </c>
      <c r="AA171">
        <v>0</v>
      </c>
      <c r="AB171">
        <v>119.95</v>
      </c>
      <c r="AC171">
        <v>20.99</v>
      </c>
      <c r="AD171">
        <v>0</v>
      </c>
      <c r="AE171">
        <v>0</v>
      </c>
      <c r="AF171">
        <v>119.95</v>
      </c>
      <c r="AG171">
        <v>20.99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0.09</v>
      </c>
      <c r="AU171" t="s">
        <v>139</v>
      </c>
      <c r="AV171">
        <v>0</v>
      </c>
      <c r="AW171">
        <v>2</v>
      </c>
      <c r="AX171">
        <v>51670352</v>
      </c>
      <c r="AY171">
        <v>1</v>
      </c>
      <c r="AZ171">
        <v>0</v>
      </c>
      <c r="BA171">
        <v>162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Y171*Source!I178</f>
        <v>0.08859375</v>
      </c>
      <c r="CY171">
        <f>AB171</f>
        <v>119.95</v>
      </c>
      <c r="CZ171">
        <f>AF171</f>
        <v>119.95</v>
      </c>
      <c r="DA171">
        <f>AJ171</f>
        <v>1</v>
      </c>
      <c r="DB171">
        <f>ROUND(((ROUND(AT171*CZ171,2)*1.25)*1.25),2)</f>
        <v>16.88</v>
      </c>
      <c r="DC171">
        <f>ROUND(((ROUND(AT171*AG171,2)*1.25)*1.25),2)</f>
        <v>2.95</v>
      </c>
    </row>
    <row r="172" spans="1:107" ht="12.75">
      <c r="A172">
        <f>ROW(Source!A178)</f>
        <v>178</v>
      </c>
      <c r="B172">
        <v>51669678</v>
      </c>
      <c r="C172">
        <v>51670325</v>
      </c>
      <c r="D172">
        <v>270724025</v>
      </c>
      <c r="E172">
        <v>1</v>
      </c>
      <c r="F172">
        <v>1</v>
      </c>
      <c r="G172">
        <v>1</v>
      </c>
      <c r="H172">
        <v>3</v>
      </c>
      <c r="I172" t="s">
        <v>542</v>
      </c>
      <c r="J172" t="s">
        <v>543</v>
      </c>
      <c r="K172" t="s">
        <v>544</v>
      </c>
      <c r="L172">
        <v>1348</v>
      </c>
      <c r="N172">
        <v>1009</v>
      </c>
      <c r="O172" t="s">
        <v>37</v>
      </c>
      <c r="P172" t="s">
        <v>37</v>
      </c>
      <c r="Q172">
        <v>1000</v>
      </c>
      <c r="W172">
        <v>0</v>
      </c>
      <c r="X172">
        <v>-2049481673</v>
      </c>
      <c r="Y172">
        <v>0.0038</v>
      </c>
      <c r="AA172">
        <v>9042.8</v>
      </c>
      <c r="AB172">
        <v>0</v>
      </c>
      <c r="AC172">
        <v>0</v>
      </c>
      <c r="AD172">
        <v>0</v>
      </c>
      <c r="AE172">
        <v>9042.8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0.0038</v>
      </c>
      <c r="AV172">
        <v>0</v>
      </c>
      <c r="AW172">
        <v>2</v>
      </c>
      <c r="AX172">
        <v>51670353</v>
      </c>
      <c r="AY172">
        <v>1</v>
      </c>
      <c r="AZ172">
        <v>0</v>
      </c>
      <c r="BA172">
        <v>163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Y172*Source!I178</f>
        <v>0.002394</v>
      </c>
      <c r="CY172">
        <f aca="true" t="shared" si="17" ref="CY172:CY188">AA172</f>
        <v>9042.8</v>
      </c>
      <c r="CZ172">
        <f aca="true" t="shared" si="18" ref="CZ172:CZ188">AE172</f>
        <v>9042.8</v>
      </c>
      <c r="DA172">
        <f aca="true" t="shared" si="19" ref="DA172:DA188">AI172</f>
        <v>1</v>
      </c>
      <c r="DB172">
        <f aca="true" t="shared" si="20" ref="DB172:DB188">ROUND(ROUND(AT172*CZ172,2),2)</f>
        <v>34.36</v>
      </c>
      <c r="DC172">
        <f aca="true" t="shared" si="21" ref="DC172:DC188">ROUND(ROUND(AT172*AG172,2),2)</f>
        <v>0</v>
      </c>
    </row>
    <row r="173" spans="1:107" ht="12.75">
      <c r="A173">
        <f>ROW(Source!A178)</f>
        <v>178</v>
      </c>
      <c r="B173">
        <v>51669678</v>
      </c>
      <c r="C173">
        <v>51670325</v>
      </c>
      <c r="D173">
        <v>270722368</v>
      </c>
      <c r="E173">
        <v>1</v>
      </c>
      <c r="F173">
        <v>1</v>
      </c>
      <c r="G173">
        <v>1</v>
      </c>
      <c r="H173">
        <v>3</v>
      </c>
      <c r="I173" t="s">
        <v>667</v>
      </c>
      <c r="J173" t="s">
        <v>668</v>
      </c>
      <c r="K173" t="s">
        <v>669</v>
      </c>
      <c r="L173">
        <v>1348</v>
      </c>
      <c r="N173">
        <v>1009</v>
      </c>
      <c r="O173" t="s">
        <v>37</v>
      </c>
      <c r="P173" t="s">
        <v>37</v>
      </c>
      <c r="Q173">
        <v>1000</v>
      </c>
      <c r="W173">
        <v>0</v>
      </c>
      <c r="X173">
        <v>-262573545</v>
      </c>
      <c r="Y173">
        <v>0.169</v>
      </c>
      <c r="AA173">
        <v>10207.56</v>
      </c>
      <c r="AB173">
        <v>0</v>
      </c>
      <c r="AC173">
        <v>0</v>
      </c>
      <c r="AD173">
        <v>0</v>
      </c>
      <c r="AE173">
        <v>10207.56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0.169</v>
      </c>
      <c r="AV173">
        <v>0</v>
      </c>
      <c r="AW173">
        <v>2</v>
      </c>
      <c r="AX173">
        <v>51670354</v>
      </c>
      <c r="AY173">
        <v>1</v>
      </c>
      <c r="AZ173">
        <v>0</v>
      </c>
      <c r="BA173">
        <v>164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Y173*Source!I178</f>
        <v>0.10647000000000001</v>
      </c>
      <c r="CY173">
        <f t="shared" si="17"/>
        <v>10207.56</v>
      </c>
      <c r="CZ173">
        <f t="shared" si="18"/>
        <v>10207.56</v>
      </c>
      <c r="DA173">
        <f t="shared" si="19"/>
        <v>1</v>
      </c>
      <c r="DB173">
        <f t="shared" si="20"/>
        <v>1725.08</v>
      </c>
      <c r="DC173">
        <f t="shared" si="21"/>
        <v>0</v>
      </c>
    </row>
    <row r="174" spans="1:107" ht="12.75">
      <c r="A174">
        <f>ROW(Source!A178)</f>
        <v>178</v>
      </c>
      <c r="B174">
        <v>51669678</v>
      </c>
      <c r="C174">
        <v>51670325</v>
      </c>
      <c r="D174">
        <v>270722834</v>
      </c>
      <c r="E174">
        <v>1</v>
      </c>
      <c r="F174">
        <v>1</v>
      </c>
      <c r="G174">
        <v>1</v>
      </c>
      <c r="H174">
        <v>3</v>
      </c>
      <c r="I174" t="s">
        <v>343</v>
      </c>
      <c r="J174" t="s">
        <v>345</v>
      </c>
      <c r="K174" t="s">
        <v>344</v>
      </c>
      <c r="L174">
        <v>1348</v>
      </c>
      <c r="N174">
        <v>1009</v>
      </c>
      <c r="O174" t="s">
        <v>37</v>
      </c>
      <c r="P174" t="s">
        <v>37</v>
      </c>
      <c r="Q174">
        <v>1000</v>
      </c>
      <c r="W174">
        <v>1</v>
      </c>
      <c r="X174">
        <v>2049988724</v>
      </c>
      <c r="Y174">
        <v>-0.452</v>
      </c>
      <c r="AA174">
        <v>54107.92</v>
      </c>
      <c r="AB174">
        <v>0</v>
      </c>
      <c r="AC174">
        <v>0</v>
      </c>
      <c r="AD174">
        <v>0</v>
      </c>
      <c r="AE174">
        <v>9696.76</v>
      </c>
      <c r="AF174">
        <v>0</v>
      </c>
      <c r="AG174">
        <v>0</v>
      </c>
      <c r="AH174">
        <v>0</v>
      </c>
      <c r="AI174">
        <v>5.58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-0.452</v>
      </c>
      <c r="AV174">
        <v>0</v>
      </c>
      <c r="AW174">
        <v>2</v>
      </c>
      <c r="AX174">
        <v>51670355</v>
      </c>
      <c r="AY174">
        <v>1</v>
      </c>
      <c r="AZ174">
        <v>6144</v>
      </c>
      <c r="BA174">
        <v>165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Y174*Source!I178</f>
        <v>-0.28476</v>
      </c>
      <c r="CY174">
        <f t="shared" si="17"/>
        <v>54107.92</v>
      </c>
      <c r="CZ174">
        <f t="shared" si="18"/>
        <v>9696.76</v>
      </c>
      <c r="DA174">
        <f t="shared" si="19"/>
        <v>5.58</v>
      </c>
      <c r="DB174">
        <f t="shared" si="20"/>
        <v>-4382.94</v>
      </c>
      <c r="DC174">
        <f t="shared" si="21"/>
        <v>0</v>
      </c>
    </row>
    <row r="175" spans="1:107" ht="12.75">
      <c r="A175">
        <f>ROW(Source!A178)</f>
        <v>178</v>
      </c>
      <c r="B175">
        <v>51669678</v>
      </c>
      <c r="C175">
        <v>51670325</v>
      </c>
      <c r="D175">
        <v>0</v>
      </c>
      <c r="E175">
        <v>1</v>
      </c>
      <c r="F175">
        <v>1</v>
      </c>
      <c r="G175">
        <v>1</v>
      </c>
      <c r="H175">
        <v>3</v>
      </c>
      <c r="I175" t="s">
        <v>200</v>
      </c>
      <c r="K175" t="s">
        <v>306</v>
      </c>
      <c r="L175">
        <v>1354</v>
      </c>
      <c r="N175">
        <v>1010</v>
      </c>
      <c r="O175" t="s">
        <v>202</v>
      </c>
      <c r="P175" t="s">
        <v>202</v>
      </c>
      <c r="Q175">
        <v>1</v>
      </c>
      <c r="W175">
        <v>0</v>
      </c>
      <c r="X175">
        <v>-1422399588</v>
      </c>
      <c r="Y175">
        <v>6.349206349206349</v>
      </c>
      <c r="AA175">
        <v>658.35</v>
      </c>
      <c r="AB175">
        <v>0</v>
      </c>
      <c r="AC175">
        <v>0</v>
      </c>
      <c r="AD175">
        <v>0</v>
      </c>
      <c r="AE175">
        <v>103.19</v>
      </c>
      <c r="AF175">
        <v>0</v>
      </c>
      <c r="AG175">
        <v>0</v>
      </c>
      <c r="AH175">
        <v>0</v>
      </c>
      <c r="AI175">
        <v>6.38</v>
      </c>
      <c r="AJ175">
        <v>1</v>
      </c>
      <c r="AK175">
        <v>1</v>
      </c>
      <c r="AL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T175">
        <v>6.349206349206349</v>
      </c>
      <c r="AV175">
        <v>0</v>
      </c>
      <c r="AW175">
        <v>1</v>
      </c>
      <c r="AX175">
        <v>-1</v>
      </c>
      <c r="AY175">
        <v>0</v>
      </c>
      <c r="AZ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Y175*Source!I178</f>
        <v>4</v>
      </c>
      <c r="CY175">
        <f t="shared" si="17"/>
        <v>658.35</v>
      </c>
      <c r="CZ175">
        <f t="shared" si="18"/>
        <v>103.19</v>
      </c>
      <c r="DA175">
        <f t="shared" si="19"/>
        <v>6.38</v>
      </c>
      <c r="DB175">
        <f t="shared" si="20"/>
        <v>655.17</v>
      </c>
      <c r="DC175">
        <f t="shared" si="21"/>
        <v>0</v>
      </c>
    </row>
    <row r="176" spans="1:107" ht="12.75">
      <c r="A176">
        <f>ROW(Source!A178)</f>
        <v>178</v>
      </c>
      <c r="B176">
        <v>51669678</v>
      </c>
      <c r="C176">
        <v>51670325</v>
      </c>
      <c r="D176">
        <v>0</v>
      </c>
      <c r="E176">
        <v>1</v>
      </c>
      <c r="F176">
        <v>1</v>
      </c>
      <c r="G176">
        <v>1</v>
      </c>
      <c r="H176">
        <v>3</v>
      </c>
      <c r="I176" t="s">
        <v>200</v>
      </c>
      <c r="K176" t="s">
        <v>309</v>
      </c>
      <c r="L176">
        <v>1354</v>
      </c>
      <c r="N176">
        <v>1010</v>
      </c>
      <c r="O176" t="s">
        <v>202</v>
      </c>
      <c r="P176" t="s">
        <v>202</v>
      </c>
      <c r="Q176">
        <v>1</v>
      </c>
      <c r="W176">
        <v>0</v>
      </c>
      <c r="X176">
        <v>72530043</v>
      </c>
      <c r="Y176">
        <v>26.984126984126984</v>
      </c>
      <c r="AA176">
        <v>558.31</v>
      </c>
      <c r="AB176">
        <v>0</v>
      </c>
      <c r="AC176">
        <v>0</v>
      </c>
      <c r="AD176">
        <v>0</v>
      </c>
      <c r="AE176">
        <v>87.51</v>
      </c>
      <c r="AF176">
        <v>0</v>
      </c>
      <c r="AG176">
        <v>0</v>
      </c>
      <c r="AH176">
        <v>0</v>
      </c>
      <c r="AI176">
        <v>6.38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T176">
        <v>26.984126984126984</v>
      </c>
      <c r="AV176">
        <v>0</v>
      </c>
      <c r="AW176">
        <v>1</v>
      </c>
      <c r="AX176">
        <v>-1</v>
      </c>
      <c r="AY176">
        <v>0</v>
      </c>
      <c r="AZ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Y176*Source!I178</f>
        <v>17</v>
      </c>
      <c r="CY176">
        <f t="shared" si="17"/>
        <v>558.31</v>
      </c>
      <c r="CZ176">
        <f t="shared" si="18"/>
        <v>87.51</v>
      </c>
      <c r="DA176">
        <f t="shared" si="19"/>
        <v>6.38</v>
      </c>
      <c r="DB176">
        <f t="shared" si="20"/>
        <v>2361.38</v>
      </c>
      <c r="DC176">
        <f t="shared" si="21"/>
        <v>0</v>
      </c>
    </row>
    <row r="177" spans="1:107" ht="12.75">
      <c r="A177">
        <f>ROW(Source!A178)</f>
        <v>178</v>
      </c>
      <c r="B177">
        <v>51669678</v>
      </c>
      <c r="C177">
        <v>51670325</v>
      </c>
      <c r="D177">
        <v>0</v>
      </c>
      <c r="E177">
        <v>1</v>
      </c>
      <c r="F177">
        <v>1</v>
      </c>
      <c r="G177">
        <v>1</v>
      </c>
      <c r="H177">
        <v>3</v>
      </c>
      <c r="I177" t="s">
        <v>200</v>
      </c>
      <c r="K177" t="s">
        <v>312</v>
      </c>
      <c r="L177">
        <v>1354</v>
      </c>
      <c r="N177">
        <v>1010</v>
      </c>
      <c r="O177" t="s">
        <v>202</v>
      </c>
      <c r="P177" t="s">
        <v>202</v>
      </c>
      <c r="Q177">
        <v>1</v>
      </c>
      <c r="W177">
        <v>0</v>
      </c>
      <c r="X177">
        <v>586220622</v>
      </c>
      <c r="Y177">
        <v>6.349206349206349</v>
      </c>
      <c r="AA177">
        <v>274.98</v>
      </c>
      <c r="AB177">
        <v>0</v>
      </c>
      <c r="AC177">
        <v>0</v>
      </c>
      <c r="AD177">
        <v>0</v>
      </c>
      <c r="AE177">
        <v>43.1</v>
      </c>
      <c r="AF177">
        <v>0</v>
      </c>
      <c r="AG177">
        <v>0</v>
      </c>
      <c r="AH177">
        <v>0</v>
      </c>
      <c r="AI177">
        <v>6.38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T177">
        <v>6.349206349206349</v>
      </c>
      <c r="AV177">
        <v>0</v>
      </c>
      <c r="AW177">
        <v>1</v>
      </c>
      <c r="AX177">
        <v>-1</v>
      </c>
      <c r="AY177">
        <v>0</v>
      </c>
      <c r="AZ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Y177*Source!I178</f>
        <v>4</v>
      </c>
      <c r="CY177">
        <f t="shared" si="17"/>
        <v>274.98</v>
      </c>
      <c r="CZ177">
        <f t="shared" si="18"/>
        <v>43.1</v>
      </c>
      <c r="DA177">
        <f t="shared" si="19"/>
        <v>6.38</v>
      </c>
      <c r="DB177">
        <f t="shared" si="20"/>
        <v>273.65</v>
      </c>
      <c r="DC177">
        <f t="shared" si="21"/>
        <v>0</v>
      </c>
    </row>
    <row r="178" spans="1:107" ht="12.75">
      <c r="A178">
        <f>ROW(Source!A178)</f>
        <v>178</v>
      </c>
      <c r="B178">
        <v>51669678</v>
      </c>
      <c r="C178">
        <v>51670325</v>
      </c>
      <c r="D178">
        <v>0</v>
      </c>
      <c r="E178">
        <v>1</v>
      </c>
      <c r="F178">
        <v>1</v>
      </c>
      <c r="G178">
        <v>1</v>
      </c>
      <c r="H178">
        <v>3</v>
      </c>
      <c r="I178" t="s">
        <v>200</v>
      </c>
      <c r="K178" t="s">
        <v>315</v>
      </c>
      <c r="L178">
        <v>1354</v>
      </c>
      <c r="N178">
        <v>1010</v>
      </c>
      <c r="O178" t="s">
        <v>202</v>
      </c>
      <c r="P178" t="s">
        <v>202</v>
      </c>
      <c r="Q178">
        <v>1</v>
      </c>
      <c r="W178">
        <v>0</v>
      </c>
      <c r="X178">
        <v>322476084</v>
      </c>
      <c r="Y178">
        <v>6.349206349206349</v>
      </c>
      <c r="AA178">
        <v>274.98</v>
      </c>
      <c r="AB178">
        <v>0</v>
      </c>
      <c r="AC178">
        <v>0</v>
      </c>
      <c r="AD178">
        <v>0</v>
      </c>
      <c r="AE178">
        <v>43.1</v>
      </c>
      <c r="AF178">
        <v>0</v>
      </c>
      <c r="AG178">
        <v>0</v>
      </c>
      <c r="AH178">
        <v>0</v>
      </c>
      <c r="AI178">
        <v>6.38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T178">
        <v>6.349206349206349</v>
      </c>
      <c r="AV178">
        <v>0</v>
      </c>
      <c r="AW178">
        <v>1</v>
      </c>
      <c r="AX178">
        <v>-1</v>
      </c>
      <c r="AY178">
        <v>0</v>
      </c>
      <c r="AZ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Y178*Source!I178</f>
        <v>4</v>
      </c>
      <c r="CY178">
        <f t="shared" si="17"/>
        <v>274.98</v>
      </c>
      <c r="CZ178">
        <f t="shared" si="18"/>
        <v>43.1</v>
      </c>
      <c r="DA178">
        <f t="shared" si="19"/>
        <v>6.38</v>
      </c>
      <c r="DB178">
        <f t="shared" si="20"/>
        <v>273.65</v>
      </c>
      <c r="DC178">
        <f t="shared" si="21"/>
        <v>0</v>
      </c>
    </row>
    <row r="179" spans="1:107" ht="12.75">
      <c r="A179">
        <f>ROW(Source!A178)</f>
        <v>178</v>
      </c>
      <c r="B179">
        <v>51669678</v>
      </c>
      <c r="C179">
        <v>51670325</v>
      </c>
      <c r="D179">
        <v>0</v>
      </c>
      <c r="E179">
        <v>1</v>
      </c>
      <c r="F179">
        <v>1</v>
      </c>
      <c r="G179">
        <v>1</v>
      </c>
      <c r="H179">
        <v>3</v>
      </c>
      <c r="I179" t="s">
        <v>200</v>
      </c>
      <c r="K179" t="s">
        <v>317</v>
      </c>
      <c r="L179">
        <v>1354</v>
      </c>
      <c r="N179">
        <v>1010</v>
      </c>
      <c r="O179" t="s">
        <v>202</v>
      </c>
      <c r="P179" t="s">
        <v>202</v>
      </c>
      <c r="Q179">
        <v>1</v>
      </c>
      <c r="W179">
        <v>0</v>
      </c>
      <c r="X179">
        <v>-1877632666</v>
      </c>
      <c r="Y179">
        <v>7.936507936507937</v>
      </c>
      <c r="AA179">
        <v>208.31</v>
      </c>
      <c r="AB179">
        <v>0</v>
      </c>
      <c r="AC179">
        <v>0</v>
      </c>
      <c r="AD179">
        <v>0</v>
      </c>
      <c r="AE179">
        <v>32.65</v>
      </c>
      <c r="AF179">
        <v>0</v>
      </c>
      <c r="AG179">
        <v>0</v>
      </c>
      <c r="AH179">
        <v>0</v>
      </c>
      <c r="AI179">
        <v>6.38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T179">
        <v>7.936507936507937</v>
      </c>
      <c r="AV179">
        <v>0</v>
      </c>
      <c r="AW179">
        <v>1</v>
      </c>
      <c r="AX179">
        <v>-1</v>
      </c>
      <c r="AY179">
        <v>0</v>
      </c>
      <c r="AZ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Y179*Source!I178</f>
        <v>5</v>
      </c>
      <c r="CY179">
        <f t="shared" si="17"/>
        <v>208.31</v>
      </c>
      <c r="CZ179">
        <f t="shared" si="18"/>
        <v>32.65</v>
      </c>
      <c r="DA179">
        <f t="shared" si="19"/>
        <v>6.38</v>
      </c>
      <c r="DB179">
        <f t="shared" si="20"/>
        <v>259.13</v>
      </c>
      <c r="DC179">
        <f t="shared" si="21"/>
        <v>0</v>
      </c>
    </row>
    <row r="180" spans="1:107" ht="12.75">
      <c r="A180">
        <f>ROW(Source!A178)</f>
        <v>178</v>
      </c>
      <c r="B180">
        <v>51669678</v>
      </c>
      <c r="C180">
        <v>51670325</v>
      </c>
      <c r="D180">
        <v>0</v>
      </c>
      <c r="E180">
        <v>1</v>
      </c>
      <c r="F180">
        <v>1</v>
      </c>
      <c r="G180">
        <v>1</v>
      </c>
      <c r="H180">
        <v>3</v>
      </c>
      <c r="I180" t="s">
        <v>200</v>
      </c>
      <c r="K180" t="s">
        <v>320</v>
      </c>
      <c r="L180">
        <v>1354</v>
      </c>
      <c r="N180">
        <v>1010</v>
      </c>
      <c r="O180" t="s">
        <v>202</v>
      </c>
      <c r="P180" t="s">
        <v>202</v>
      </c>
      <c r="Q180">
        <v>1</v>
      </c>
      <c r="W180">
        <v>0</v>
      </c>
      <c r="X180">
        <v>257031402</v>
      </c>
      <c r="Y180">
        <v>134.9206349206349</v>
      </c>
      <c r="AA180">
        <v>91.68</v>
      </c>
      <c r="AB180">
        <v>0</v>
      </c>
      <c r="AC180">
        <v>0</v>
      </c>
      <c r="AD180">
        <v>0</v>
      </c>
      <c r="AE180">
        <v>14.37</v>
      </c>
      <c r="AF180">
        <v>0</v>
      </c>
      <c r="AG180">
        <v>0</v>
      </c>
      <c r="AH180">
        <v>0</v>
      </c>
      <c r="AI180">
        <v>6.38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T180">
        <v>134.9206349206349</v>
      </c>
      <c r="AV180">
        <v>0</v>
      </c>
      <c r="AW180">
        <v>1</v>
      </c>
      <c r="AX180">
        <v>-1</v>
      </c>
      <c r="AY180">
        <v>0</v>
      </c>
      <c r="AZ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Y180*Source!I178</f>
        <v>85</v>
      </c>
      <c r="CY180">
        <f t="shared" si="17"/>
        <v>91.68</v>
      </c>
      <c r="CZ180">
        <f t="shared" si="18"/>
        <v>14.37</v>
      </c>
      <c r="DA180">
        <f t="shared" si="19"/>
        <v>6.38</v>
      </c>
      <c r="DB180">
        <f t="shared" si="20"/>
        <v>1938.81</v>
      </c>
      <c r="DC180">
        <f t="shared" si="21"/>
        <v>0</v>
      </c>
    </row>
    <row r="181" spans="1:107" ht="12.75">
      <c r="A181">
        <f>ROW(Source!A178)</f>
        <v>178</v>
      </c>
      <c r="B181">
        <v>51669678</v>
      </c>
      <c r="C181">
        <v>51670325</v>
      </c>
      <c r="D181">
        <v>0</v>
      </c>
      <c r="E181">
        <v>1</v>
      </c>
      <c r="F181">
        <v>1</v>
      </c>
      <c r="G181">
        <v>1</v>
      </c>
      <c r="H181">
        <v>3</v>
      </c>
      <c r="I181" t="s">
        <v>200</v>
      </c>
      <c r="K181" t="s">
        <v>323</v>
      </c>
      <c r="L181">
        <v>1354</v>
      </c>
      <c r="N181">
        <v>1010</v>
      </c>
      <c r="O181" t="s">
        <v>202</v>
      </c>
      <c r="P181" t="s">
        <v>202</v>
      </c>
      <c r="Q181">
        <v>1</v>
      </c>
      <c r="W181">
        <v>0</v>
      </c>
      <c r="X181">
        <v>-1133236278</v>
      </c>
      <c r="Y181">
        <v>19.047619047619047</v>
      </c>
      <c r="AA181">
        <v>566.67</v>
      </c>
      <c r="AB181">
        <v>0</v>
      </c>
      <c r="AC181">
        <v>0</v>
      </c>
      <c r="AD181">
        <v>0</v>
      </c>
      <c r="AE181">
        <v>88.82</v>
      </c>
      <c r="AF181">
        <v>0</v>
      </c>
      <c r="AG181">
        <v>0</v>
      </c>
      <c r="AH181">
        <v>0</v>
      </c>
      <c r="AI181">
        <v>6.38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T181">
        <v>19.047619047619047</v>
      </c>
      <c r="AV181">
        <v>0</v>
      </c>
      <c r="AW181">
        <v>1</v>
      </c>
      <c r="AX181">
        <v>-1</v>
      </c>
      <c r="AY181">
        <v>0</v>
      </c>
      <c r="AZ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Y181*Source!I178</f>
        <v>12</v>
      </c>
      <c r="CY181">
        <f t="shared" si="17"/>
        <v>566.67</v>
      </c>
      <c r="CZ181">
        <f t="shared" si="18"/>
        <v>88.82</v>
      </c>
      <c r="DA181">
        <f t="shared" si="19"/>
        <v>6.38</v>
      </c>
      <c r="DB181">
        <f t="shared" si="20"/>
        <v>1691.81</v>
      </c>
      <c r="DC181">
        <f t="shared" si="21"/>
        <v>0</v>
      </c>
    </row>
    <row r="182" spans="1:107" ht="12.75">
      <c r="A182">
        <f>ROW(Source!A178)</f>
        <v>178</v>
      </c>
      <c r="B182">
        <v>51669678</v>
      </c>
      <c r="C182">
        <v>51670325</v>
      </c>
      <c r="D182">
        <v>0</v>
      </c>
      <c r="E182">
        <v>1</v>
      </c>
      <c r="F182">
        <v>1</v>
      </c>
      <c r="G182">
        <v>1</v>
      </c>
      <c r="H182">
        <v>3</v>
      </c>
      <c r="I182" t="s">
        <v>200</v>
      </c>
      <c r="K182" t="s">
        <v>326</v>
      </c>
      <c r="L182">
        <v>1354</v>
      </c>
      <c r="N182">
        <v>1010</v>
      </c>
      <c r="O182" t="s">
        <v>202</v>
      </c>
      <c r="P182" t="s">
        <v>202</v>
      </c>
      <c r="Q182">
        <v>1</v>
      </c>
      <c r="W182">
        <v>0</v>
      </c>
      <c r="X182">
        <v>1583007622</v>
      </c>
      <c r="Y182">
        <v>19.047619047619047</v>
      </c>
      <c r="AA182">
        <v>91.68</v>
      </c>
      <c r="AB182">
        <v>0</v>
      </c>
      <c r="AC182">
        <v>0</v>
      </c>
      <c r="AD182">
        <v>0</v>
      </c>
      <c r="AE182">
        <v>14.37</v>
      </c>
      <c r="AF182">
        <v>0</v>
      </c>
      <c r="AG182">
        <v>0</v>
      </c>
      <c r="AH182">
        <v>0</v>
      </c>
      <c r="AI182">
        <v>6.38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T182">
        <v>19.047619047619047</v>
      </c>
      <c r="AV182">
        <v>0</v>
      </c>
      <c r="AW182">
        <v>1</v>
      </c>
      <c r="AX182">
        <v>-1</v>
      </c>
      <c r="AY182">
        <v>0</v>
      </c>
      <c r="AZ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Y182*Source!I178</f>
        <v>12</v>
      </c>
      <c r="CY182">
        <f t="shared" si="17"/>
        <v>91.68</v>
      </c>
      <c r="CZ182">
        <f t="shared" si="18"/>
        <v>14.37</v>
      </c>
      <c r="DA182">
        <f t="shared" si="19"/>
        <v>6.38</v>
      </c>
      <c r="DB182">
        <f t="shared" si="20"/>
        <v>273.71</v>
      </c>
      <c r="DC182">
        <f t="shared" si="21"/>
        <v>0</v>
      </c>
    </row>
    <row r="183" spans="1:107" ht="12.75">
      <c r="A183">
        <f>ROW(Source!A178)</f>
        <v>178</v>
      </c>
      <c r="B183">
        <v>51669678</v>
      </c>
      <c r="C183">
        <v>51670325</v>
      </c>
      <c r="D183">
        <v>0</v>
      </c>
      <c r="E183">
        <v>1</v>
      </c>
      <c r="F183">
        <v>1</v>
      </c>
      <c r="G183">
        <v>1</v>
      </c>
      <c r="H183">
        <v>3</v>
      </c>
      <c r="I183" t="s">
        <v>200</v>
      </c>
      <c r="K183" t="s">
        <v>328</v>
      </c>
      <c r="L183">
        <v>1354</v>
      </c>
      <c r="N183">
        <v>1010</v>
      </c>
      <c r="O183" t="s">
        <v>202</v>
      </c>
      <c r="P183" t="s">
        <v>202</v>
      </c>
      <c r="Q183">
        <v>1</v>
      </c>
      <c r="W183">
        <v>0</v>
      </c>
      <c r="X183">
        <v>1194916481</v>
      </c>
      <c r="Y183">
        <v>9.523809523809524</v>
      </c>
      <c r="AA183">
        <v>241.67</v>
      </c>
      <c r="AB183">
        <v>0</v>
      </c>
      <c r="AC183">
        <v>0</v>
      </c>
      <c r="AD183">
        <v>0</v>
      </c>
      <c r="AE183">
        <v>37.88</v>
      </c>
      <c r="AF183">
        <v>0</v>
      </c>
      <c r="AG183">
        <v>0</v>
      </c>
      <c r="AH183">
        <v>0</v>
      </c>
      <c r="AI183">
        <v>6.38</v>
      </c>
      <c r="AJ183">
        <v>1</v>
      </c>
      <c r="AK183">
        <v>1</v>
      </c>
      <c r="AL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T183">
        <v>9.523809523809524</v>
      </c>
      <c r="AV183">
        <v>0</v>
      </c>
      <c r="AW183">
        <v>1</v>
      </c>
      <c r="AX183">
        <v>-1</v>
      </c>
      <c r="AY183">
        <v>0</v>
      </c>
      <c r="AZ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Y183*Source!I178</f>
        <v>6</v>
      </c>
      <c r="CY183">
        <f t="shared" si="17"/>
        <v>241.67</v>
      </c>
      <c r="CZ183">
        <f t="shared" si="18"/>
        <v>37.88</v>
      </c>
      <c r="DA183">
        <f t="shared" si="19"/>
        <v>6.38</v>
      </c>
      <c r="DB183">
        <f t="shared" si="20"/>
        <v>360.76</v>
      </c>
      <c r="DC183">
        <f t="shared" si="21"/>
        <v>0</v>
      </c>
    </row>
    <row r="184" spans="1:107" ht="12.75">
      <c r="A184">
        <f>ROW(Source!A178)</f>
        <v>178</v>
      </c>
      <c r="B184">
        <v>51669678</v>
      </c>
      <c r="C184">
        <v>51670325</v>
      </c>
      <c r="D184">
        <v>0</v>
      </c>
      <c r="E184">
        <v>1</v>
      </c>
      <c r="F184">
        <v>1</v>
      </c>
      <c r="G184">
        <v>1</v>
      </c>
      <c r="H184">
        <v>3</v>
      </c>
      <c r="I184" t="s">
        <v>200</v>
      </c>
      <c r="K184" t="s">
        <v>331</v>
      </c>
      <c r="L184">
        <v>1354</v>
      </c>
      <c r="N184">
        <v>1010</v>
      </c>
      <c r="O184" t="s">
        <v>202</v>
      </c>
      <c r="P184" t="s">
        <v>202</v>
      </c>
      <c r="Q184">
        <v>1</v>
      </c>
      <c r="W184">
        <v>0</v>
      </c>
      <c r="X184">
        <v>122561304</v>
      </c>
      <c r="Y184">
        <v>25.396825396825395</v>
      </c>
      <c r="AA184">
        <v>133.34</v>
      </c>
      <c r="AB184">
        <v>0</v>
      </c>
      <c r="AC184">
        <v>0</v>
      </c>
      <c r="AD184">
        <v>0</v>
      </c>
      <c r="AE184">
        <v>20.9</v>
      </c>
      <c r="AF184">
        <v>0</v>
      </c>
      <c r="AG184">
        <v>0</v>
      </c>
      <c r="AH184">
        <v>0</v>
      </c>
      <c r="AI184">
        <v>6.38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T184">
        <v>25.396825396825395</v>
      </c>
      <c r="AV184">
        <v>0</v>
      </c>
      <c r="AW184">
        <v>1</v>
      </c>
      <c r="AX184">
        <v>-1</v>
      </c>
      <c r="AY184">
        <v>0</v>
      </c>
      <c r="AZ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Y184*Source!I178</f>
        <v>16</v>
      </c>
      <c r="CY184">
        <f t="shared" si="17"/>
        <v>133.34</v>
      </c>
      <c r="CZ184">
        <f t="shared" si="18"/>
        <v>20.9</v>
      </c>
      <c r="DA184">
        <f t="shared" si="19"/>
        <v>6.38</v>
      </c>
      <c r="DB184">
        <f t="shared" si="20"/>
        <v>530.79</v>
      </c>
      <c r="DC184">
        <f t="shared" si="21"/>
        <v>0</v>
      </c>
    </row>
    <row r="185" spans="1:107" ht="12.75">
      <c r="A185">
        <f>ROW(Source!A178)</f>
        <v>178</v>
      </c>
      <c r="B185">
        <v>51669678</v>
      </c>
      <c r="C185">
        <v>51670325</v>
      </c>
      <c r="D185">
        <v>0</v>
      </c>
      <c r="E185">
        <v>1</v>
      </c>
      <c r="F185">
        <v>1</v>
      </c>
      <c r="G185">
        <v>1</v>
      </c>
      <c r="H185">
        <v>3</v>
      </c>
      <c r="I185" t="s">
        <v>200</v>
      </c>
      <c r="K185" t="s">
        <v>334</v>
      </c>
      <c r="L185">
        <v>1354</v>
      </c>
      <c r="N185">
        <v>1010</v>
      </c>
      <c r="O185" t="s">
        <v>202</v>
      </c>
      <c r="P185" t="s">
        <v>202</v>
      </c>
      <c r="Q185">
        <v>1</v>
      </c>
      <c r="W185">
        <v>0</v>
      </c>
      <c r="X185">
        <v>-345303851</v>
      </c>
      <c r="Y185">
        <v>25.396825396825395</v>
      </c>
      <c r="AA185">
        <v>133.34</v>
      </c>
      <c r="AB185">
        <v>0</v>
      </c>
      <c r="AC185">
        <v>0</v>
      </c>
      <c r="AD185">
        <v>0</v>
      </c>
      <c r="AE185">
        <v>20.9</v>
      </c>
      <c r="AF185">
        <v>0</v>
      </c>
      <c r="AG185">
        <v>0</v>
      </c>
      <c r="AH185">
        <v>0</v>
      </c>
      <c r="AI185">
        <v>6.38</v>
      </c>
      <c r="AJ185">
        <v>1</v>
      </c>
      <c r="AK185">
        <v>1</v>
      </c>
      <c r="AL185">
        <v>1</v>
      </c>
      <c r="AN185">
        <v>0</v>
      </c>
      <c r="AO185">
        <v>0</v>
      </c>
      <c r="AP185">
        <v>0</v>
      </c>
      <c r="AQ185">
        <v>0</v>
      </c>
      <c r="AR185">
        <v>0</v>
      </c>
      <c r="AT185">
        <v>25.396825396825395</v>
      </c>
      <c r="AV185">
        <v>0</v>
      </c>
      <c r="AW185">
        <v>1</v>
      </c>
      <c r="AX185">
        <v>-1</v>
      </c>
      <c r="AY185">
        <v>0</v>
      </c>
      <c r="AZ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Y185*Source!I178</f>
        <v>16</v>
      </c>
      <c r="CY185">
        <f t="shared" si="17"/>
        <v>133.34</v>
      </c>
      <c r="CZ185">
        <f t="shared" si="18"/>
        <v>20.9</v>
      </c>
      <c r="DA185">
        <f t="shared" si="19"/>
        <v>6.38</v>
      </c>
      <c r="DB185">
        <f t="shared" si="20"/>
        <v>530.79</v>
      </c>
      <c r="DC185">
        <f t="shared" si="21"/>
        <v>0</v>
      </c>
    </row>
    <row r="186" spans="1:107" ht="12.75">
      <c r="A186">
        <f>ROW(Source!A178)</f>
        <v>178</v>
      </c>
      <c r="B186">
        <v>51669678</v>
      </c>
      <c r="C186">
        <v>51670325</v>
      </c>
      <c r="D186">
        <v>0</v>
      </c>
      <c r="E186">
        <v>1</v>
      </c>
      <c r="F186">
        <v>1</v>
      </c>
      <c r="G186">
        <v>1</v>
      </c>
      <c r="H186">
        <v>3</v>
      </c>
      <c r="I186" t="s">
        <v>200</v>
      </c>
      <c r="K186" t="s">
        <v>336</v>
      </c>
      <c r="L186">
        <v>1354</v>
      </c>
      <c r="N186">
        <v>1010</v>
      </c>
      <c r="O186" t="s">
        <v>202</v>
      </c>
      <c r="P186" t="s">
        <v>202</v>
      </c>
      <c r="Q186">
        <v>1</v>
      </c>
      <c r="W186">
        <v>0</v>
      </c>
      <c r="X186">
        <v>439924506</v>
      </c>
      <c r="Y186">
        <v>22.22222222222222</v>
      </c>
      <c r="AA186">
        <v>91.68</v>
      </c>
      <c r="AB186">
        <v>0</v>
      </c>
      <c r="AC186">
        <v>0</v>
      </c>
      <c r="AD186">
        <v>0</v>
      </c>
      <c r="AE186">
        <v>14.37</v>
      </c>
      <c r="AF186">
        <v>0</v>
      </c>
      <c r="AG186">
        <v>0</v>
      </c>
      <c r="AH186">
        <v>0</v>
      </c>
      <c r="AI186">
        <v>6.38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T186">
        <v>22.22222222222222</v>
      </c>
      <c r="AV186">
        <v>0</v>
      </c>
      <c r="AW186">
        <v>1</v>
      </c>
      <c r="AX186">
        <v>-1</v>
      </c>
      <c r="AY186">
        <v>0</v>
      </c>
      <c r="AZ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Y186*Source!I178</f>
        <v>14</v>
      </c>
      <c r="CY186">
        <f t="shared" si="17"/>
        <v>91.68</v>
      </c>
      <c r="CZ186">
        <f t="shared" si="18"/>
        <v>14.37</v>
      </c>
      <c r="DA186">
        <f t="shared" si="19"/>
        <v>6.38</v>
      </c>
      <c r="DB186">
        <f t="shared" si="20"/>
        <v>319.33</v>
      </c>
      <c r="DC186">
        <f t="shared" si="21"/>
        <v>0</v>
      </c>
    </row>
    <row r="187" spans="1:107" ht="12.75">
      <c r="A187">
        <f>ROW(Source!A178)</f>
        <v>178</v>
      </c>
      <c r="B187">
        <v>51669678</v>
      </c>
      <c r="C187">
        <v>51670325</v>
      </c>
      <c r="D187">
        <v>0</v>
      </c>
      <c r="E187">
        <v>1</v>
      </c>
      <c r="F187">
        <v>1</v>
      </c>
      <c r="G187">
        <v>1</v>
      </c>
      <c r="H187">
        <v>3</v>
      </c>
      <c r="I187" t="s">
        <v>200</v>
      </c>
      <c r="K187" t="s">
        <v>338</v>
      </c>
      <c r="L187">
        <v>1354</v>
      </c>
      <c r="N187">
        <v>1010</v>
      </c>
      <c r="O187" t="s">
        <v>202</v>
      </c>
      <c r="P187" t="s">
        <v>202</v>
      </c>
      <c r="Q187">
        <v>1</v>
      </c>
      <c r="W187">
        <v>0</v>
      </c>
      <c r="X187">
        <v>-620046031</v>
      </c>
      <c r="Y187">
        <v>42.857142857142854</v>
      </c>
      <c r="AA187">
        <v>133.34</v>
      </c>
      <c r="AB187">
        <v>0</v>
      </c>
      <c r="AC187">
        <v>0</v>
      </c>
      <c r="AD187">
        <v>0</v>
      </c>
      <c r="AE187">
        <v>20.9</v>
      </c>
      <c r="AF187">
        <v>0</v>
      </c>
      <c r="AG187">
        <v>0</v>
      </c>
      <c r="AH187">
        <v>0</v>
      </c>
      <c r="AI187">
        <v>6.38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T187">
        <v>42.857142857142854</v>
      </c>
      <c r="AV187">
        <v>0</v>
      </c>
      <c r="AW187">
        <v>1</v>
      </c>
      <c r="AX187">
        <v>-1</v>
      </c>
      <c r="AY187">
        <v>0</v>
      </c>
      <c r="AZ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Y187*Source!I178</f>
        <v>27</v>
      </c>
      <c r="CY187">
        <f t="shared" si="17"/>
        <v>133.34</v>
      </c>
      <c r="CZ187">
        <f t="shared" si="18"/>
        <v>20.9</v>
      </c>
      <c r="DA187">
        <f t="shared" si="19"/>
        <v>6.38</v>
      </c>
      <c r="DB187">
        <f t="shared" si="20"/>
        <v>895.71</v>
      </c>
      <c r="DC187">
        <f t="shared" si="21"/>
        <v>0</v>
      </c>
    </row>
    <row r="188" spans="1:107" ht="12.75">
      <c r="A188">
        <f>ROW(Source!A178)</f>
        <v>178</v>
      </c>
      <c r="B188">
        <v>51669678</v>
      </c>
      <c r="C188">
        <v>51670325</v>
      </c>
      <c r="D188">
        <v>0</v>
      </c>
      <c r="E188">
        <v>1</v>
      </c>
      <c r="F188">
        <v>1</v>
      </c>
      <c r="G188">
        <v>1</v>
      </c>
      <c r="H188">
        <v>3</v>
      </c>
      <c r="I188" t="s">
        <v>200</v>
      </c>
      <c r="K188" t="s">
        <v>340</v>
      </c>
      <c r="L188">
        <v>1354</v>
      </c>
      <c r="N188">
        <v>1010</v>
      </c>
      <c r="O188" t="s">
        <v>202</v>
      </c>
      <c r="P188" t="s">
        <v>202</v>
      </c>
      <c r="Q188">
        <v>1</v>
      </c>
      <c r="W188">
        <v>0</v>
      </c>
      <c r="X188">
        <v>751302136</v>
      </c>
      <c r="Y188">
        <v>6.349206</v>
      </c>
      <c r="AA188">
        <v>249.97</v>
      </c>
      <c r="AB188">
        <v>0</v>
      </c>
      <c r="AC188">
        <v>0</v>
      </c>
      <c r="AD188">
        <v>0</v>
      </c>
      <c r="AE188">
        <v>39.18</v>
      </c>
      <c r="AF188">
        <v>0</v>
      </c>
      <c r="AG188">
        <v>0</v>
      </c>
      <c r="AH188">
        <v>0</v>
      </c>
      <c r="AI188">
        <v>6.38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T188">
        <v>6.349206</v>
      </c>
      <c r="AV188">
        <v>0</v>
      </c>
      <c r="AW188">
        <v>1</v>
      </c>
      <c r="AX188">
        <v>-1</v>
      </c>
      <c r="AY188">
        <v>0</v>
      </c>
      <c r="AZ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Y188*Source!I178</f>
        <v>3.99999978</v>
      </c>
      <c r="CY188">
        <f t="shared" si="17"/>
        <v>249.97</v>
      </c>
      <c r="CZ188">
        <f t="shared" si="18"/>
        <v>39.18</v>
      </c>
      <c r="DA188">
        <f t="shared" si="19"/>
        <v>6.38</v>
      </c>
      <c r="DB188">
        <f t="shared" si="20"/>
        <v>248.76</v>
      </c>
      <c r="DC188">
        <f t="shared" si="21"/>
        <v>0</v>
      </c>
    </row>
    <row r="189" spans="1:107" ht="12.75">
      <c r="A189">
        <f>ROW(Source!A194)</f>
        <v>194</v>
      </c>
      <c r="B189">
        <v>51669678</v>
      </c>
      <c r="C189">
        <v>51670371</v>
      </c>
      <c r="D189">
        <v>202542786</v>
      </c>
      <c r="E189">
        <v>1</v>
      </c>
      <c r="F189">
        <v>1</v>
      </c>
      <c r="G189">
        <v>1</v>
      </c>
      <c r="H189">
        <v>1</v>
      </c>
      <c r="I189" t="s">
        <v>670</v>
      </c>
      <c r="K189" t="s">
        <v>671</v>
      </c>
      <c r="L189">
        <v>1369</v>
      </c>
      <c r="N189">
        <v>1013</v>
      </c>
      <c r="O189" t="s">
        <v>462</v>
      </c>
      <c r="P189" t="s">
        <v>462</v>
      </c>
      <c r="Q189">
        <v>1</v>
      </c>
      <c r="W189">
        <v>0</v>
      </c>
      <c r="X189">
        <v>1255982456</v>
      </c>
      <c r="Y189">
        <v>4.226249999999999</v>
      </c>
      <c r="AA189">
        <v>0</v>
      </c>
      <c r="AB189">
        <v>0</v>
      </c>
      <c r="AC189">
        <v>0</v>
      </c>
      <c r="AD189">
        <v>18.51</v>
      </c>
      <c r="AE189">
        <v>0</v>
      </c>
      <c r="AF189">
        <v>0</v>
      </c>
      <c r="AG189">
        <v>0</v>
      </c>
      <c r="AH189">
        <v>18.51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2.94</v>
      </c>
      <c r="AU189" t="s">
        <v>519</v>
      </c>
      <c r="AV189">
        <v>1</v>
      </c>
      <c r="AW189">
        <v>2</v>
      </c>
      <c r="AX189">
        <v>51670382</v>
      </c>
      <c r="AY189">
        <v>1</v>
      </c>
      <c r="AZ189">
        <v>0</v>
      </c>
      <c r="BA189">
        <v>166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Y189*Source!I194</f>
        <v>25.357499999999995</v>
      </c>
      <c r="CY189">
        <f>AD189</f>
        <v>18.51</v>
      </c>
      <c r="CZ189">
        <f>AH189</f>
        <v>18.51</v>
      </c>
      <c r="DA189">
        <f>AL189</f>
        <v>1</v>
      </c>
      <c r="DB189">
        <f>ROUND(((ROUND(AT189*CZ189,2)*1.15)*1.25),2)</f>
        <v>78.23</v>
      </c>
      <c r="DC189">
        <f>ROUND(((ROUND(AT189*AG189,2)*1.15)*1.25),2)</f>
        <v>0</v>
      </c>
    </row>
    <row r="190" spans="1:107" ht="12.75">
      <c r="A190">
        <f>ROW(Source!A194)</f>
        <v>194</v>
      </c>
      <c r="B190">
        <v>51669678</v>
      </c>
      <c r="C190">
        <v>51670371</v>
      </c>
      <c r="D190">
        <v>121548</v>
      </c>
      <c r="E190">
        <v>1</v>
      </c>
      <c r="F190">
        <v>1</v>
      </c>
      <c r="G190">
        <v>1</v>
      </c>
      <c r="H190">
        <v>1</v>
      </c>
      <c r="I190" t="s">
        <v>26</v>
      </c>
      <c r="K190" t="s">
        <v>469</v>
      </c>
      <c r="L190">
        <v>608254</v>
      </c>
      <c r="N190">
        <v>1013</v>
      </c>
      <c r="O190" t="s">
        <v>470</v>
      </c>
      <c r="P190" t="s">
        <v>470</v>
      </c>
      <c r="Q190">
        <v>1</v>
      </c>
      <c r="W190">
        <v>0</v>
      </c>
      <c r="X190">
        <v>-185737400</v>
      </c>
      <c r="Y190">
        <v>0.015625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0.01</v>
      </c>
      <c r="AU190" t="s">
        <v>520</v>
      </c>
      <c r="AV190">
        <v>2</v>
      </c>
      <c r="AW190">
        <v>2</v>
      </c>
      <c r="AX190">
        <v>51670383</v>
      </c>
      <c r="AY190">
        <v>1</v>
      </c>
      <c r="AZ190">
        <v>0</v>
      </c>
      <c r="BA190">
        <v>167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Y190*Source!I194</f>
        <v>0.09375</v>
      </c>
      <c r="CY190">
        <f>AD190</f>
        <v>0</v>
      </c>
      <c r="CZ190">
        <f>AH190</f>
        <v>0</v>
      </c>
      <c r="DA190">
        <f>AL190</f>
        <v>1</v>
      </c>
      <c r="DB190">
        <f>ROUND(((ROUND(AT190*CZ190,2)*1.25)*1.25),2)</f>
        <v>0</v>
      </c>
      <c r="DC190">
        <f>ROUND(((ROUND(AT190*AG190,2)*1.25)*1.25),2)</f>
        <v>0</v>
      </c>
    </row>
    <row r="191" spans="1:107" ht="12.75">
      <c r="A191">
        <f>ROW(Source!A194)</f>
        <v>194</v>
      </c>
      <c r="B191">
        <v>51669678</v>
      </c>
      <c r="C191">
        <v>51670371</v>
      </c>
      <c r="D191">
        <v>270771356</v>
      </c>
      <c r="E191">
        <v>1</v>
      </c>
      <c r="F191">
        <v>1</v>
      </c>
      <c r="G191">
        <v>1</v>
      </c>
      <c r="H191">
        <v>2</v>
      </c>
      <c r="I191" t="s">
        <v>471</v>
      </c>
      <c r="J191" t="s">
        <v>472</v>
      </c>
      <c r="K191" t="s">
        <v>473</v>
      </c>
      <c r="L191">
        <v>1368</v>
      </c>
      <c r="N191">
        <v>1011</v>
      </c>
      <c r="O191" t="s">
        <v>466</v>
      </c>
      <c r="P191" t="s">
        <v>466</v>
      </c>
      <c r="Q191">
        <v>1</v>
      </c>
      <c r="W191">
        <v>0</v>
      </c>
      <c r="X191">
        <v>-435889032</v>
      </c>
      <c r="Y191">
        <v>0.015625</v>
      </c>
      <c r="AA191">
        <v>0</v>
      </c>
      <c r="AB191">
        <v>98.9</v>
      </c>
      <c r="AC191">
        <v>24.53</v>
      </c>
      <c r="AD191">
        <v>0</v>
      </c>
      <c r="AE191">
        <v>0</v>
      </c>
      <c r="AF191">
        <v>98.9</v>
      </c>
      <c r="AG191">
        <v>24.53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0.01</v>
      </c>
      <c r="AU191" t="s">
        <v>139</v>
      </c>
      <c r="AV191">
        <v>0</v>
      </c>
      <c r="AW191">
        <v>2</v>
      </c>
      <c r="AX191">
        <v>51670384</v>
      </c>
      <c r="AY191">
        <v>1</v>
      </c>
      <c r="AZ191">
        <v>0</v>
      </c>
      <c r="BA191">
        <v>168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Y191*Source!I194</f>
        <v>0.09375</v>
      </c>
      <c r="CY191">
        <f>AB191</f>
        <v>98.9</v>
      </c>
      <c r="CZ191">
        <f>AF191</f>
        <v>98.9</v>
      </c>
      <c r="DA191">
        <f>AJ191</f>
        <v>1</v>
      </c>
      <c r="DB191">
        <f>ROUND(((ROUND(AT191*CZ191,2)*1.25)*1.25),2)</f>
        <v>1.55</v>
      </c>
      <c r="DC191">
        <f>ROUND(((ROUND(AT191*AG191,2)*1.25)*1.25),2)</f>
        <v>0.39</v>
      </c>
    </row>
    <row r="192" spans="1:107" ht="12.75">
      <c r="A192">
        <f>ROW(Source!A194)</f>
        <v>194</v>
      </c>
      <c r="B192">
        <v>51669678</v>
      </c>
      <c r="C192">
        <v>51670371</v>
      </c>
      <c r="D192">
        <v>270771745</v>
      </c>
      <c r="E192">
        <v>1</v>
      </c>
      <c r="F192">
        <v>1</v>
      </c>
      <c r="G192">
        <v>1</v>
      </c>
      <c r="H192">
        <v>2</v>
      </c>
      <c r="I192" t="s">
        <v>615</v>
      </c>
      <c r="J192" t="s">
        <v>616</v>
      </c>
      <c r="K192" t="s">
        <v>617</v>
      </c>
      <c r="L192">
        <v>1368</v>
      </c>
      <c r="N192">
        <v>1011</v>
      </c>
      <c r="O192" t="s">
        <v>466</v>
      </c>
      <c r="P192" t="s">
        <v>466</v>
      </c>
      <c r="Q192">
        <v>1</v>
      </c>
      <c r="W192">
        <v>0</v>
      </c>
      <c r="X192">
        <v>-250074079</v>
      </c>
      <c r="Y192">
        <v>2.5</v>
      </c>
      <c r="AA192">
        <v>0</v>
      </c>
      <c r="AB192">
        <v>8.31</v>
      </c>
      <c r="AC192">
        <v>0</v>
      </c>
      <c r="AD192">
        <v>0</v>
      </c>
      <c r="AE192">
        <v>0</v>
      </c>
      <c r="AF192">
        <v>8.31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1.6</v>
      </c>
      <c r="AU192" t="s">
        <v>139</v>
      </c>
      <c r="AV192">
        <v>0</v>
      </c>
      <c r="AW192">
        <v>2</v>
      </c>
      <c r="AX192">
        <v>51670385</v>
      </c>
      <c r="AY192">
        <v>1</v>
      </c>
      <c r="AZ192">
        <v>0</v>
      </c>
      <c r="BA192">
        <v>169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Y192*Source!I194</f>
        <v>15</v>
      </c>
      <c r="CY192">
        <f>AB192</f>
        <v>8.31</v>
      </c>
      <c r="CZ192">
        <f>AF192</f>
        <v>8.31</v>
      </c>
      <c r="DA192">
        <f>AJ192</f>
        <v>1</v>
      </c>
      <c r="DB192">
        <f>ROUND(((ROUND(AT192*CZ192,2)*1.25)*1.25),2)</f>
        <v>20.78</v>
      </c>
      <c r="DC192">
        <f>ROUND(((ROUND(AT192*AG192,2)*1.25)*1.25),2)</f>
        <v>0</v>
      </c>
    </row>
    <row r="193" spans="1:107" ht="12.75">
      <c r="A193">
        <f>ROW(Source!A194)</f>
        <v>194</v>
      </c>
      <c r="B193">
        <v>51669678</v>
      </c>
      <c r="C193">
        <v>51670371</v>
      </c>
      <c r="D193">
        <v>270774071</v>
      </c>
      <c r="E193">
        <v>1</v>
      </c>
      <c r="F193">
        <v>1</v>
      </c>
      <c r="G193">
        <v>1</v>
      </c>
      <c r="H193">
        <v>2</v>
      </c>
      <c r="I193" t="s">
        <v>479</v>
      </c>
      <c r="J193" t="s">
        <v>480</v>
      </c>
      <c r="K193" t="s">
        <v>481</v>
      </c>
      <c r="L193">
        <v>1368</v>
      </c>
      <c r="N193">
        <v>1011</v>
      </c>
      <c r="O193" t="s">
        <v>466</v>
      </c>
      <c r="P193" t="s">
        <v>466</v>
      </c>
      <c r="Q193">
        <v>1</v>
      </c>
      <c r="W193">
        <v>0</v>
      </c>
      <c r="X193">
        <v>1109194647</v>
      </c>
      <c r="Y193">
        <v>0.015625</v>
      </c>
      <c r="AA193">
        <v>0</v>
      </c>
      <c r="AB193">
        <v>119.95</v>
      </c>
      <c r="AC193">
        <v>20.99</v>
      </c>
      <c r="AD193">
        <v>0</v>
      </c>
      <c r="AE193">
        <v>0</v>
      </c>
      <c r="AF193">
        <v>119.95</v>
      </c>
      <c r="AG193">
        <v>20.99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0.01</v>
      </c>
      <c r="AU193" t="s">
        <v>139</v>
      </c>
      <c r="AV193">
        <v>0</v>
      </c>
      <c r="AW193">
        <v>2</v>
      </c>
      <c r="AX193">
        <v>51670386</v>
      </c>
      <c r="AY193">
        <v>1</v>
      </c>
      <c r="AZ193">
        <v>0</v>
      </c>
      <c r="BA193">
        <v>170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Y193*Source!I194</f>
        <v>0.09375</v>
      </c>
      <c r="CY193">
        <f>AB193</f>
        <v>119.95</v>
      </c>
      <c r="CZ193">
        <f>AF193</f>
        <v>119.95</v>
      </c>
      <c r="DA193">
        <f>AJ193</f>
        <v>1</v>
      </c>
      <c r="DB193">
        <f>ROUND(((ROUND(AT193*CZ193,2)*1.25)*1.25),2)</f>
        <v>1.88</v>
      </c>
      <c r="DC193">
        <f>ROUND(((ROUND(AT193*AG193,2)*1.25)*1.25),2)</f>
        <v>0.33</v>
      </c>
    </row>
    <row r="194" spans="1:107" ht="12.75">
      <c r="A194">
        <f>ROW(Source!A194)</f>
        <v>194</v>
      </c>
      <c r="B194">
        <v>51669678</v>
      </c>
      <c r="C194">
        <v>51670371</v>
      </c>
      <c r="D194">
        <v>270716583</v>
      </c>
      <c r="E194">
        <v>1</v>
      </c>
      <c r="F194">
        <v>1</v>
      </c>
      <c r="G194">
        <v>1</v>
      </c>
      <c r="H194">
        <v>3</v>
      </c>
      <c r="I194" t="s">
        <v>672</v>
      </c>
      <c r="J194" t="s">
        <v>673</v>
      </c>
      <c r="K194" t="s">
        <v>674</v>
      </c>
      <c r="L194">
        <v>1348</v>
      </c>
      <c r="N194">
        <v>1009</v>
      </c>
      <c r="O194" t="s">
        <v>37</v>
      </c>
      <c r="P194" t="s">
        <v>37</v>
      </c>
      <c r="Q194">
        <v>1000</v>
      </c>
      <c r="W194">
        <v>0</v>
      </c>
      <c r="X194">
        <v>-1594505844</v>
      </c>
      <c r="Y194">
        <v>6E-05</v>
      </c>
      <c r="AA194">
        <v>23703.67</v>
      </c>
      <c r="AB194">
        <v>0</v>
      </c>
      <c r="AC194">
        <v>0</v>
      </c>
      <c r="AD194">
        <v>0</v>
      </c>
      <c r="AE194">
        <v>23703.67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6E-05</v>
      </c>
      <c r="AV194">
        <v>0</v>
      </c>
      <c r="AW194">
        <v>2</v>
      </c>
      <c r="AX194">
        <v>51670387</v>
      </c>
      <c r="AY194">
        <v>1</v>
      </c>
      <c r="AZ194">
        <v>0</v>
      </c>
      <c r="BA194">
        <v>171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Y194*Source!I194</f>
        <v>0.00036</v>
      </c>
      <c r="CY194">
        <f>AA194</f>
        <v>23703.67</v>
      </c>
      <c r="CZ194">
        <f>AE194</f>
        <v>23703.67</v>
      </c>
      <c r="DA194">
        <f>AI194</f>
        <v>1</v>
      </c>
      <c r="DB194">
        <f>ROUND(ROUND(AT194*CZ194,2),2)</f>
        <v>1.42</v>
      </c>
      <c r="DC194">
        <f>ROUND(ROUND(AT194*AG194,2),2)</f>
        <v>0</v>
      </c>
    </row>
    <row r="195" spans="1:107" ht="12.75">
      <c r="A195">
        <f>ROW(Source!A194)</f>
        <v>194</v>
      </c>
      <c r="B195">
        <v>51669678</v>
      </c>
      <c r="C195">
        <v>51670371</v>
      </c>
      <c r="D195">
        <v>270718121</v>
      </c>
      <c r="E195">
        <v>1</v>
      </c>
      <c r="F195">
        <v>1</v>
      </c>
      <c r="G195">
        <v>1</v>
      </c>
      <c r="H195">
        <v>3</v>
      </c>
      <c r="I195" t="s">
        <v>675</v>
      </c>
      <c r="J195" t="s">
        <v>676</v>
      </c>
      <c r="K195" t="s">
        <v>677</v>
      </c>
      <c r="L195">
        <v>1348</v>
      </c>
      <c r="N195">
        <v>1009</v>
      </c>
      <c r="O195" t="s">
        <v>37</v>
      </c>
      <c r="P195" t="s">
        <v>37</v>
      </c>
      <c r="Q195">
        <v>1000</v>
      </c>
      <c r="W195">
        <v>0</v>
      </c>
      <c r="X195">
        <v>-1350707942</v>
      </c>
      <c r="Y195">
        <v>0.00016</v>
      </c>
      <c r="AA195">
        <v>1525.63</v>
      </c>
      <c r="AB195">
        <v>0</v>
      </c>
      <c r="AC195">
        <v>0</v>
      </c>
      <c r="AD195">
        <v>0</v>
      </c>
      <c r="AE195">
        <v>1525.63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0.00016</v>
      </c>
      <c r="AV195">
        <v>0</v>
      </c>
      <c r="AW195">
        <v>2</v>
      </c>
      <c r="AX195">
        <v>51670388</v>
      </c>
      <c r="AY195">
        <v>1</v>
      </c>
      <c r="AZ195">
        <v>0</v>
      </c>
      <c r="BA195">
        <v>172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Y195*Source!I194</f>
        <v>0.0009600000000000001</v>
      </c>
      <c r="CY195">
        <f>AA195</f>
        <v>1525.63</v>
      </c>
      <c r="CZ195">
        <f>AE195</f>
        <v>1525.63</v>
      </c>
      <c r="DA195">
        <f>AI195</f>
        <v>1</v>
      </c>
      <c r="DB195">
        <f>ROUND(ROUND(AT195*CZ195,2),2)</f>
        <v>0.24</v>
      </c>
      <c r="DC195">
        <f>ROUND(ROUND(AT195*AG195,2),2)</f>
        <v>0</v>
      </c>
    </row>
    <row r="196" spans="1:107" ht="12.75">
      <c r="A196">
        <f>ROW(Source!A194)</f>
        <v>194</v>
      </c>
      <c r="B196">
        <v>51669678</v>
      </c>
      <c r="C196">
        <v>51670371</v>
      </c>
      <c r="D196">
        <v>270723640</v>
      </c>
      <c r="E196">
        <v>1</v>
      </c>
      <c r="F196">
        <v>1</v>
      </c>
      <c r="G196">
        <v>1</v>
      </c>
      <c r="H196">
        <v>3</v>
      </c>
      <c r="I196" t="s">
        <v>626</v>
      </c>
      <c r="J196" t="s">
        <v>627</v>
      </c>
      <c r="K196" t="s">
        <v>628</v>
      </c>
      <c r="L196">
        <v>1348</v>
      </c>
      <c r="N196">
        <v>1009</v>
      </c>
      <c r="O196" t="s">
        <v>37</v>
      </c>
      <c r="P196" t="s">
        <v>37</v>
      </c>
      <c r="Q196">
        <v>1000</v>
      </c>
      <c r="W196">
        <v>0</v>
      </c>
      <c r="X196">
        <v>-1613617557</v>
      </c>
      <c r="Y196">
        <v>0.00019</v>
      </c>
      <c r="AA196">
        <v>14120.9</v>
      </c>
      <c r="AB196">
        <v>0</v>
      </c>
      <c r="AC196">
        <v>0</v>
      </c>
      <c r="AD196">
        <v>0</v>
      </c>
      <c r="AE196">
        <v>14120.9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0.00019</v>
      </c>
      <c r="AV196">
        <v>0</v>
      </c>
      <c r="AW196">
        <v>2</v>
      </c>
      <c r="AX196">
        <v>51670389</v>
      </c>
      <c r="AY196">
        <v>1</v>
      </c>
      <c r="AZ196">
        <v>0</v>
      </c>
      <c r="BA196">
        <v>173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Y196*Source!I194</f>
        <v>0.00114</v>
      </c>
      <c r="CY196">
        <f>AA196</f>
        <v>14120.9</v>
      </c>
      <c r="CZ196">
        <f>AE196</f>
        <v>14120.9</v>
      </c>
      <c r="DA196">
        <f>AI196</f>
        <v>1</v>
      </c>
      <c r="DB196">
        <f>ROUND(ROUND(AT196*CZ196,2),2)</f>
        <v>2.68</v>
      </c>
      <c r="DC196">
        <f>ROUND(ROUND(AT196*AG196,2),2)</f>
        <v>0</v>
      </c>
    </row>
    <row r="197" spans="1:107" ht="12.75">
      <c r="A197">
        <f>ROW(Source!A194)</f>
        <v>194</v>
      </c>
      <c r="B197">
        <v>51669678</v>
      </c>
      <c r="C197">
        <v>51670371</v>
      </c>
      <c r="D197">
        <v>270741664</v>
      </c>
      <c r="E197">
        <v>1</v>
      </c>
      <c r="F197">
        <v>1</v>
      </c>
      <c r="G197">
        <v>1</v>
      </c>
      <c r="H197">
        <v>3</v>
      </c>
      <c r="I197" t="s">
        <v>355</v>
      </c>
      <c r="J197" t="s">
        <v>357</v>
      </c>
      <c r="K197" t="s">
        <v>356</v>
      </c>
      <c r="L197">
        <v>1354</v>
      </c>
      <c r="N197">
        <v>1010</v>
      </c>
      <c r="O197" t="s">
        <v>202</v>
      </c>
      <c r="P197" t="s">
        <v>202</v>
      </c>
      <c r="Q197">
        <v>1</v>
      </c>
      <c r="W197">
        <v>1</v>
      </c>
      <c r="X197">
        <v>972105927</v>
      </c>
      <c r="Y197">
        <v>-1</v>
      </c>
      <c r="AA197">
        <v>1523.31</v>
      </c>
      <c r="AB197">
        <v>0</v>
      </c>
      <c r="AC197">
        <v>0</v>
      </c>
      <c r="AD197">
        <v>0</v>
      </c>
      <c r="AE197">
        <v>306.5</v>
      </c>
      <c r="AF197">
        <v>0</v>
      </c>
      <c r="AG197">
        <v>0</v>
      </c>
      <c r="AH197">
        <v>0</v>
      </c>
      <c r="AI197">
        <v>4.97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-1</v>
      </c>
      <c r="AV197">
        <v>0</v>
      </c>
      <c r="AW197">
        <v>2</v>
      </c>
      <c r="AX197">
        <v>51670390</v>
      </c>
      <c r="AY197">
        <v>1</v>
      </c>
      <c r="AZ197">
        <v>6144</v>
      </c>
      <c r="BA197">
        <v>174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Y197*Source!I194</f>
        <v>-6</v>
      </c>
      <c r="CY197">
        <f>AA197</f>
        <v>1523.31</v>
      </c>
      <c r="CZ197">
        <f>AE197</f>
        <v>306.5</v>
      </c>
      <c r="DA197">
        <f>AI197</f>
        <v>4.97</v>
      </c>
      <c r="DB197">
        <f>ROUND(ROUND(AT197*CZ197,2),2)</f>
        <v>-306.5</v>
      </c>
      <c r="DC197">
        <f>ROUND(ROUND(AT197*AG197,2),2)</f>
        <v>0</v>
      </c>
    </row>
    <row r="198" spans="1:107" ht="12.75">
      <c r="A198">
        <f>ROW(Source!A194)</f>
        <v>194</v>
      </c>
      <c r="B198">
        <v>51669678</v>
      </c>
      <c r="C198">
        <v>51670371</v>
      </c>
      <c r="D198">
        <v>0</v>
      </c>
      <c r="E198">
        <v>1</v>
      </c>
      <c r="F198">
        <v>1</v>
      </c>
      <c r="G198">
        <v>1</v>
      </c>
      <c r="H198">
        <v>3</v>
      </c>
      <c r="I198" t="s">
        <v>200</v>
      </c>
      <c r="K198" t="s">
        <v>352</v>
      </c>
      <c r="L198">
        <v>1354</v>
      </c>
      <c r="N198">
        <v>1010</v>
      </c>
      <c r="O198" t="s">
        <v>202</v>
      </c>
      <c r="P198" t="s">
        <v>202</v>
      </c>
      <c r="Q198">
        <v>1</v>
      </c>
      <c r="W198">
        <v>0</v>
      </c>
      <c r="X198">
        <v>391551382</v>
      </c>
      <c r="Y198">
        <v>1</v>
      </c>
      <c r="AA198">
        <v>554.17</v>
      </c>
      <c r="AB198">
        <v>0</v>
      </c>
      <c r="AC198">
        <v>0</v>
      </c>
      <c r="AD198">
        <v>0</v>
      </c>
      <c r="AE198">
        <v>86.86</v>
      </c>
      <c r="AF198">
        <v>0</v>
      </c>
      <c r="AG198">
        <v>0</v>
      </c>
      <c r="AH198">
        <v>0</v>
      </c>
      <c r="AI198">
        <v>6.38</v>
      </c>
      <c r="AJ198">
        <v>1</v>
      </c>
      <c r="AK198">
        <v>1</v>
      </c>
      <c r="AL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T198">
        <v>1</v>
      </c>
      <c r="AV198">
        <v>0</v>
      </c>
      <c r="AW198">
        <v>1</v>
      </c>
      <c r="AX198">
        <v>-1</v>
      </c>
      <c r="AY198">
        <v>0</v>
      </c>
      <c r="AZ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Y198*Source!I194</f>
        <v>6</v>
      </c>
      <c r="CY198">
        <f>AA198</f>
        <v>554.17</v>
      </c>
      <c r="CZ198">
        <f>AE198</f>
        <v>86.86</v>
      </c>
      <c r="DA198">
        <f>AI198</f>
        <v>6.38</v>
      </c>
      <c r="DB198">
        <f>ROUND(ROUND(AT198*CZ198,2),2)</f>
        <v>86.86</v>
      </c>
      <c r="DC198">
        <f>ROUND(ROUND(AT198*AG198,2),2)</f>
        <v>0</v>
      </c>
    </row>
    <row r="199" spans="1:107" ht="12.75">
      <c r="A199">
        <f>ROW(Source!A197)</f>
        <v>197</v>
      </c>
      <c r="B199">
        <v>51669678</v>
      </c>
      <c r="C199">
        <v>51670415</v>
      </c>
      <c r="D199">
        <v>202549185</v>
      </c>
      <c r="E199">
        <v>1</v>
      </c>
      <c r="F199">
        <v>1</v>
      </c>
      <c r="G199">
        <v>1</v>
      </c>
      <c r="H199">
        <v>1</v>
      </c>
      <c r="I199" t="s">
        <v>531</v>
      </c>
      <c r="K199" t="s">
        <v>532</v>
      </c>
      <c r="L199">
        <v>1369</v>
      </c>
      <c r="N199">
        <v>1013</v>
      </c>
      <c r="O199" t="s">
        <v>462</v>
      </c>
      <c r="P199" t="s">
        <v>462</v>
      </c>
      <c r="Q199">
        <v>1</v>
      </c>
      <c r="W199">
        <v>0</v>
      </c>
      <c r="X199">
        <v>157492739</v>
      </c>
      <c r="Y199">
        <v>191.15874999999994</v>
      </c>
      <c r="AA199">
        <v>0</v>
      </c>
      <c r="AB199">
        <v>0</v>
      </c>
      <c r="AC199">
        <v>0</v>
      </c>
      <c r="AD199">
        <v>16.57</v>
      </c>
      <c r="AE199">
        <v>0</v>
      </c>
      <c r="AF199">
        <v>0</v>
      </c>
      <c r="AG199">
        <v>0</v>
      </c>
      <c r="AH199">
        <v>16.57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132.98</v>
      </c>
      <c r="AU199" t="s">
        <v>519</v>
      </c>
      <c r="AV199">
        <v>1</v>
      </c>
      <c r="AW199">
        <v>2</v>
      </c>
      <c r="AX199">
        <v>51670428</v>
      </c>
      <c r="AY199">
        <v>1</v>
      </c>
      <c r="AZ199">
        <v>0</v>
      </c>
      <c r="BA199">
        <v>175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Y199*Source!I197</f>
        <v>66.52324499999997</v>
      </c>
      <c r="CY199">
        <f>AD199</f>
        <v>16.57</v>
      </c>
      <c r="CZ199">
        <f>AH199</f>
        <v>16.57</v>
      </c>
      <c r="DA199">
        <f>AL199</f>
        <v>1</v>
      </c>
      <c r="DB199">
        <f>ROUND(((ROUND(AT199*CZ199,2)*1.15)*1.25),2)</f>
        <v>3167.5</v>
      </c>
      <c r="DC199">
        <f>ROUND(((ROUND(AT199*AG199,2)*1.15)*1.25),2)</f>
        <v>0</v>
      </c>
    </row>
    <row r="200" spans="1:107" ht="12.75">
      <c r="A200">
        <f>ROW(Source!A197)</f>
        <v>197</v>
      </c>
      <c r="B200">
        <v>51669678</v>
      </c>
      <c r="C200">
        <v>51670415</v>
      </c>
      <c r="D200">
        <v>121548</v>
      </c>
      <c r="E200">
        <v>1</v>
      </c>
      <c r="F200">
        <v>1</v>
      </c>
      <c r="G200">
        <v>1</v>
      </c>
      <c r="H200">
        <v>1</v>
      </c>
      <c r="I200" t="s">
        <v>26</v>
      </c>
      <c r="K200" t="s">
        <v>469</v>
      </c>
      <c r="L200">
        <v>608254</v>
      </c>
      <c r="N200">
        <v>1013</v>
      </c>
      <c r="O200" t="s">
        <v>470</v>
      </c>
      <c r="P200" t="s">
        <v>470</v>
      </c>
      <c r="Q200">
        <v>1</v>
      </c>
      <c r="W200">
        <v>0</v>
      </c>
      <c r="X200">
        <v>-185737400</v>
      </c>
      <c r="Y200">
        <v>0.59375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0.38</v>
      </c>
      <c r="AU200" t="s">
        <v>520</v>
      </c>
      <c r="AV200">
        <v>2</v>
      </c>
      <c r="AW200">
        <v>2</v>
      </c>
      <c r="AX200">
        <v>51670429</v>
      </c>
      <c r="AY200">
        <v>1</v>
      </c>
      <c r="AZ200">
        <v>0</v>
      </c>
      <c r="BA200">
        <v>176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Y200*Source!I197</f>
        <v>0.20662499999999998</v>
      </c>
      <c r="CY200">
        <f>AD200</f>
        <v>0</v>
      </c>
      <c r="CZ200">
        <f>AH200</f>
        <v>0</v>
      </c>
      <c r="DA200">
        <f>AL200</f>
        <v>1</v>
      </c>
      <c r="DB200">
        <f>ROUND(((ROUND(AT200*CZ200,2)*1.25)*1.25),2)</f>
        <v>0</v>
      </c>
      <c r="DC200">
        <f>ROUND(((ROUND(AT200*AG200,2)*1.25)*1.25),2)</f>
        <v>0</v>
      </c>
    </row>
    <row r="201" spans="1:107" ht="12.75">
      <c r="A201">
        <f>ROW(Source!A197)</f>
        <v>197</v>
      </c>
      <c r="B201">
        <v>51669678</v>
      </c>
      <c r="C201">
        <v>51670415</v>
      </c>
      <c r="D201">
        <v>270771467</v>
      </c>
      <c r="E201">
        <v>1</v>
      </c>
      <c r="F201">
        <v>1</v>
      </c>
      <c r="G201">
        <v>1</v>
      </c>
      <c r="H201">
        <v>2</v>
      </c>
      <c r="I201" t="s">
        <v>476</v>
      </c>
      <c r="J201" t="s">
        <v>477</v>
      </c>
      <c r="K201" t="s">
        <v>478</v>
      </c>
      <c r="L201">
        <v>1368</v>
      </c>
      <c r="N201">
        <v>1011</v>
      </c>
      <c r="O201" t="s">
        <v>466</v>
      </c>
      <c r="P201" t="s">
        <v>466</v>
      </c>
      <c r="Q201">
        <v>1</v>
      </c>
      <c r="W201">
        <v>0</v>
      </c>
      <c r="X201">
        <v>1617131323</v>
      </c>
      <c r="Y201">
        <v>0.59375</v>
      </c>
      <c r="AA201">
        <v>0</v>
      </c>
      <c r="AB201">
        <v>125.73</v>
      </c>
      <c r="AC201">
        <v>24.53</v>
      </c>
      <c r="AD201">
        <v>0</v>
      </c>
      <c r="AE201">
        <v>0</v>
      </c>
      <c r="AF201">
        <v>125.73</v>
      </c>
      <c r="AG201">
        <v>24.53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0.38</v>
      </c>
      <c r="AU201" t="s">
        <v>139</v>
      </c>
      <c r="AV201">
        <v>0</v>
      </c>
      <c r="AW201">
        <v>2</v>
      </c>
      <c r="AX201">
        <v>51670430</v>
      </c>
      <c r="AY201">
        <v>1</v>
      </c>
      <c r="AZ201">
        <v>0</v>
      </c>
      <c r="BA201">
        <v>177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Y201*Source!I197</f>
        <v>0.20662499999999998</v>
      </c>
      <c r="CY201">
        <f>AB201</f>
        <v>125.73</v>
      </c>
      <c r="CZ201">
        <f>AF201</f>
        <v>125.73</v>
      </c>
      <c r="DA201">
        <f>AJ201</f>
        <v>1</v>
      </c>
      <c r="DB201">
        <f>ROUND(((ROUND(AT201*CZ201,2)*1.25)*1.25),2)</f>
        <v>74.66</v>
      </c>
      <c r="DC201">
        <f>ROUND(((ROUND(AT201*AG201,2)*1.25)*1.25),2)</f>
        <v>14.56</v>
      </c>
    </row>
    <row r="202" spans="1:107" ht="12.75">
      <c r="A202">
        <f>ROW(Source!A197)</f>
        <v>197</v>
      </c>
      <c r="B202">
        <v>51669678</v>
      </c>
      <c r="C202">
        <v>51670415</v>
      </c>
      <c r="D202">
        <v>270771603</v>
      </c>
      <c r="E202">
        <v>1</v>
      </c>
      <c r="F202">
        <v>1</v>
      </c>
      <c r="G202">
        <v>1</v>
      </c>
      <c r="H202">
        <v>2</v>
      </c>
      <c r="I202" t="s">
        <v>463</v>
      </c>
      <c r="J202" t="s">
        <v>464</v>
      </c>
      <c r="K202" t="s">
        <v>465</v>
      </c>
      <c r="L202">
        <v>1368</v>
      </c>
      <c r="N202">
        <v>1011</v>
      </c>
      <c r="O202" t="s">
        <v>466</v>
      </c>
      <c r="P202" t="s">
        <v>466</v>
      </c>
      <c r="Q202">
        <v>1</v>
      </c>
      <c r="W202">
        <v>0</v>
      </c>
      <c r="X202">
        <v>-987378529</v>
      </c>
      <c r="Y202">
        <v>0.609375</v>
      </c>
      <c r="AA202">
        <v>0</v>
      </c>
      <c r="AB202">
        <v>6.68</v>
      </c>
      <c r="AC202">
        <v>0</v>
      </c>
      <c r="AD202">
        <v>0</v>
      </c>
      <c r="AE202">
        <v>0</v>
      </c>
      <c r="AF202">
        <v>6.68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0.39</v>
      </c>
      <c r="AU202" t="s">
        <v>139</v>
      </c>
      <c r="AV202">
        <v>0</v>
      </c>
      <c r="AW202">
        <v>2</v>
      </c>
      <c r="AX202">
        <v>51670431</v>
      </c>
      <c r="AY202">
        <v>1</v>
      </c>
      <c r="AZ202">
        <v>0</v>
      </c>
      <c r="BA202">
        <v>178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Y202*Source!I197</f>
        <v>0.2120625</v>
      </c>
      <c r="CY202">
        <f>AB202</f>
        <v>6.68</v>
      </c>
      <c r="CZ202">
        <f>AF202</f>
        <v>6.68</v>
      </c>
      <c r="DA202">
        <f>AJ202</f>
        <v>1</v>
      </c>
      <c r="DB202">
        <f>ROUND(((ROUND(AT202*CZ202,2)*1.25)*1.25),2)</f>
        <v>4.08</v>
      </c>
      <c r="DC202">
        <f>ROUND(((ROUND(AT202*AG202,2)*1.25)*1.25),2)</f>
        <v>0</v>
      </c>
    </row>
    <row r="203" spans="1:107" ht="12.75">
      <c r="A203">
        <f>ROW(Source!A197)</f>
        <v>197</v>
      </c>
      <c r="B203">
        <v>51669678</v>
      </c>
      <c r="C203">
        <v>51670415</v>
      </c>
      <c r="D203">
        <v>270771745</v>
      </c>
      <c r="E203">
        <v>1</v>
      </c>
      <c r="F203">
        <v>1</v>
      </c>
      <c r="G203">
        <v>1</v>
      </c>
      <c r="H203">
        <v>2</v>
      </c>
      <c r="I203" t="s">
        <v>615</v>
      </c>
      <c r="J203" t="s">
        <v>616</v>
      </c>
      <c r="K203" t="s">
        <v>617</v>
      </c>
      <c r="L203">
        <v>1368</v>
      </c>
      <c r="N203">
        <v>1011</v>
      </c>
      <c r="O203" t="s">
        <v>466</v>
      </c>
      <c r="P203" t="s">
        <v>466</v>
      </c>
      <c r="Q203">
        <v>1</v>
      </c>
      <c r="W203">
        <v>0</v>
      </c>
      <c r="X203">
        <v>-250074079</v>
      </c>
      <c r="Y203">
        <v>2.40625</v>
      </c>
      <c r="AA203">
        <v>0</v>
      </c>
      <c r="AB203">
        <v>8.31</v>
      </c>
      <c r="AC203">
        <v>0</v>
      </c>
      <c r="AD203">
        <v>0</v>
      </c>
      <c r="AE203">
        <v>0</v>
      </c>
      <c r="AF203">
        <v>8.31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1.54</v>
      </c>
      <c r="AU203" t="s">
        <v>139</v>
      </c>
      <c r="AV203">
        <v>0</v>
      </c>
      <c r="AW203">
        <v>2</v>
      </c>
      <c r="AX203">
        <v>51670432</v>
      </c>
      <c r="AY203">
        <v>1</v>
      </c>
      <c r="AZ203">
        <v>0</v>
      </c>
      <c r="BA203">
        <v>179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Y203*Source!I197</f>
        <v>0.837375</v>
      </c>
      <c r="CY203">
        <f>AB203</f>
        <v>8.31</v>
      </c>
      <c r="CZ203">
        <f>AF203</f>
        <v>8.31</v>
      </c>
      <c r="DA203">
        <f>AJ203</f>
        <v>1</v>
      </c>
      <c r="DB203">
        <f>ROUND(((ROUND(AT203*CZ203,2)*1.25)*1.25),2)</f>
        <v>20</v>
      </c>
      <c r="DC203">
        <f>ROUND(((ROUND(AT203*AG203,2)*1.25)*1.25),2)</f>
        <v>0</v>
      </c>
    </row>
    <row r="204" spans="1:107" ht="12.75">
      <c r="A204">
        <f>ROW(Source!A197)</f>
        <v>197</v>
      </c>
      <c r="B204">
        <v>51669678</v>
      </c>
      <c r="C204">
        <v>51670415</v>
      </c>
      <c r="D204">
        <v>270774071</v>
      </c>
      <c r="E204">
        <v>1</v>
      </c>
      <c r="F204">
        <v>1</v>
      </c>
      <c r="G204">
        <v>1</v>
      </c>
      <c r="H204">
        <v>2</v>
      </c>
      <c r="I204" t="s">
        <v>479</v>
      </c>
      <c r="J204" t="s">
        <v>480</v>
      </c>
      <c r="K204" t="s">
        <v>481</v>
      </c>
      <c r="L204">
        <v>1368</v>
      </c>
      <c r="N204">
        <v>1011</v>
      </c>
      <c r="O204" t="s">
        <v>466</v>
      </c>
      <c r="P204" t="s">
        <v>466</v>
      </c>
      <c r="Q204">
        <v>1</v>
      </c>
      <c r="W204">
        <v>0</v>
      </c>
      <c r="X204">
        <v>1109194647</v>
      </c>
      <c r="Y204">
        <v>0.8906249999999999</v>
      </c>
      <c r="AA204">
        <v>0</v>
      </c>
      <c r="AB204">
        <v>119.95</v>
      </c>
      <c r="AC204">
        <v>20.99</v>
      </c>
      <c r="AD204">
        <v>0</v>
      </c>
      <c r="AE204">
        <v>0</v>
      </c>
      <c r="AF204">
        <v>119.95</v>
      </c>
      <c r="AG204">
        <v>20.99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T204">
        <v>0.57</v>
      </c>
      <c r="AU204" t="s">
        <v>139</v>
      </c>
      <c r="AV204">
        <v>0</v>
      </c>
      <c r="AW204">
        <v>2</v>
      </c>
      <c r="AX204">
        <v>51670433</v>
      </c>
      <c r="AY204">
        <v>1</v>
      </c>
      <c r="AZ204">
        <v>0</v>
      </c>
      <c r="BA204">
        <v>180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Y204*Source!I197</f>
        <v>0.3099374999999999</v>
      </c>
      <c r="CY204">
        <f>AB204</f>
        <v>119.95</v>
      </c>
      <c r="CZ204">
        <f>AF204</f>
        <v>119.95</v>
      </c>
      <c r="DA204">
        <f>AJ204</f>
        <v>1</v>
      </c>
      <c r="DB204">
        <f>ROUND(((ROUND(AT204*CZ204,2)*1.25)*1.25),2)</f>
        <v>106.83</v>
      </c>
      <c r="DC204">
        <f>ROUND(((ROUND(AT204*AG204,2)*1.25)*1.25),2)</f>
        <v>18.69</v>
      </c>
    </row>
    <row r="205" spans="1:107" ht="12.75">
      <c r="A205">
        <f>ROW(Source!A197)</f>
        <v>197</v>
      </c>
      <c r="B205">
        <v>51669678</v>
      </c>
      <c r="C205">
        <v>51670415</v>
      </c>
      <c r="D205">
        <v>270720245</v>
      </c>
      <c r="E205">
        <v>1</v>
      </c>
      <c r="F205">
        <v>1</v>
      </c>
      <c r="G205">
        <v>1</v>
      </c>
      <c r="H205">
        <v>3</v>
      </c>
      <c r="I205" t="s">
        <v>678</v>
      </c>
      <c r="J205" t="s">
        <v>679</v>
      </c>
      <c r="K205" t="s">
        <v>680</v>
      </c>
      <c r="L205">
        <v>1348</v>
      </c>
      <c r="N205">
        <v>1009</v>
      </c>
      <c r="O205" t="s">
        <v>37</v>
      </c>
      <c r="P205" t="s">
        <v>37</v>
      </c>
      <c r="Q205">
        <v>1000</v>
      </c>
      <c r="W205">
        <v>0</v>
      </c>
      <c r="X205">
        <v>-323449549</v>
      </c>
      <c r="Y205">
        <v>0.00513</v>
      </c>
      <c r="AA205">
        <v>16270.53</v>
      </c>
      <c r="AB205">
        <v>0</v>
      </c>
      <c r="AC205">
        <v>0</v>
      </c>
      <c r="AD205">
        <v>0</v>
      </c>
      <c r="AE205">
        <v>16270.53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0.00513</v>
      </c>
      <c r="AV205">
        <v>0</v>
      </c>
      <c r="AW205">
        <v>2</v>
      </c>
      <c r="AX205">
        <v>51670434</v>
      </c>
      <c r="AY205">
        <v>1</v>
      </c>
      <c r="AZ205">
        <v>0</v>
      </c>
      <c r="BA205">
        <v>181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Y205*Source!I197</f>
        <v>0.0017852399999999998</v>
      </c>
      <c r="CY205">
        <f aca="true" t="shared" si="22" ref="CY205:CY210">AA205</f>
        <v>16270.53</v>
      </c>
      <c r="CZ205">
        <f aca="true" t="shared" si="23" ref="CZ205:CZ210">AE205</f>
        <v>16270.53</v>
      </c>
      <c r="DA205">
        <f aca="true" t="shared" si="24" ref="DA205:DA210">AI205</f>
        <v>1</v>
      </c>
      <c r="DB205">
        <f aca="true" t="shared" si="25" ref="DB205:DB210">ROUND(ROUND(AT205*CZ205,2),2)</f>
        <v>83.47</v>
      </c>
      <c r="DC205">
        <f aca="true" t="shared" si="26" ref="DC205:DC210">ROUND(ROUND(AT205*AG205,2),2)</f>
        <v>0</v>
      </c>
    </row>
    <row r="206" spans="1:107" ht="12.75">
      <c r="A206">
        <f>ROW(Source!A197)</f>
        <v>197</v>
      </c>
      <c r="B206">
        <v>51669678</v>
      </c>
      <c r="C206">
        <v>51670415</v>
      </c>
      <c r="D206">
        <v>270723640</v>
      </c>
      <c r="E206">
        <v>1</v>
      </c>
      <c r="F206">
        <v>1</v>
      </c>
      <c r="G206">
        <v>1</v>
      </c>
      <c r="H206">
        <v>3</v>
      </c>
      <c r="I206" t="s">
        <v>626</v>
      </c>
      <c r="J206" t="s">
        <v>627</v>
      </c>
      <c r="K206" t="s">
        <v>628</v>
      </c>
      <c r="L206">
        <v>1348</v>
      </c>
      <c r="N206">
        <v>1009</v>
      </c>
      <c r="O206" t="s">
        <v>37</v>
      </c>
      <c r="P206" t="s">
        <v>37</v>
      </c>
      <c r="Q206">
        <v>1000</v>
      </c>
      <c r="W206">
        <v>0</v>
      </c>
      <c r="X206">
        <v>-1613617557</v>
      </c>
      <c r="Y206">
        <v>0.00039</v>
      </c>
      <c r="AA206">
        <v>14120.9</v>
      </c>
      <c r="AB206">
        <v>0</v>
      </c>
      <c r="AC206">
        <v>0</v>
      </c>
      <c r="AD206">
        <v>0</v>
      </c>
      <c r="AE206">
        <v>14120.9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0.00039</v>
      </c>
      <c r="AV206">
        <v>0</v>
      </c>
      <c r="AW206">
        <v>2</v>
      </c>
      <c r="AX206">
        <v>51670435</v>
      </c>
      <c r="AY206">
        <v>1</v>
      </c>
      <c r="AZ206">
        <v>0</v>
      </c>
      <c r="BA206">
        <v>182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Y206*Source!I197</f>
        <v>0.00013571999999999998</v>
      </c>
      <c r="CY206">
        <f t="shared" si="22"/>
        <v>14120.9</v>
      </c>
      <c r="CZ206">
        <f t="shared" si="23"/>
        <v>14120.9</v>
      </c>
      <c r="DA206">
        <f t="shared" si="24"/>
        <v>1</v>
      </c>
      <c r="DB206">
        <f t="shared" si="25"/>
        <v>5.51</v>
      </c>
      <c r="DC206">
        <f t="shared" si="26"/>
        <v>0</v>
      </c>
    </row>
    <row r="207" spans="1:107" ht="12.75">
      <c r="A207">
        <f>ROW(Source!A197)</f>
        <v>197</v>
      </c>
      <c r="B207">
        <v>51669678</v>
      </c>
      <c r="C207">
        <v>51670415</v>
      </c>
      <c r="D207">
        <v>270719036</v>
      </c>
      <c r="E207">
        <v>1</v>
      </c>
      <c r="F207">
        <v>1</v>
      </c>
      <c r="G207">
        <v>1</v>
      </c>
      <c r="H207">
        <v>3</v>
      </c>
      <c r="I207" t="s">
        <v>681</v>
      </c>
      <c r="J207" t="s">
        <v>682</v>
      </c>
      <c r="K207" t="s">
        <v>683</v>
      </c>
      <c r="L207">
        <v>1346</v>
      </c>
      <c r="N207">
        <v>1009</v>
      </c>
      <c r="O207" t="s">
        <v>597</v>
      </c>
      <c r="P207" t="s">
        <v>597</v>
      </c>
      <c r="Q207">
        <v>1</v>
      </c>
      <c r="W207">
        <v>0</v>
      </c>
      <c r="X207">
        <v>244605354</v>
      </c>
      <c r="Y207">
        <v>7.58</v>
      </c>
      <c r="AA207">
        <v>46.8</v>
      </c>
      <c r="AB207">
        <v>0</v>
      </c>
      <c r="AC207">
        <v>0</v>
      </c>
      <c r="AD207">
        <v>0</v>
      </c>
      <c r="AE207">
        <v>46.8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7.58</v>
      </c>
      <c r="AV207">
        <v>0</v>
      </c>
      <c r="AW207">
        <v>2</v>
      </c>
      <c r="AX207">
        <v>51670436</v>
      </c>
      <c r="AY207">
        <v>1</v>
      </c>
      <c r="AZ207">
        <v>0</v>
      </c>
      <c r="BA207">
        <v>183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Y207*Source!I197</f>
        <v>2.6378399999999997</v>
      </c>
      <c r="CY207">
        <f t="shared" si="22"/>
        <v>46.8</v>
      </c>
      <c r="CZ207">
        <f t="shared" si="23"/>
        <v>46.8</v>
      </c>
      <c r="DA207">
        <f t="shared" si="24"/>
        <v>1</v>
      </c>
      <c r="DB207">
        <f t="shared" si="25"/>
        <v>354.74</v>
      </c>
      <c r="DC207">
        <f t="shared" si="26"/>
        <v>0</v>
      </c>
    </row>
    <row r="208" spans="1:107" ht="12.75">
      <c r="A208">
        <f>ROW(Source!A197)</f>
        <v>197</v>
      </c>
      <c r="B208">
        <v>51669678</v>
      </c>
      <c r="C208">
        <v>51670415</v>
      </c>
      <c r="D208">
        <v>270723899</v>
      </c>
      <c r="E208">
        <v>1</v>
      </c>
      <c r="F208">
        <v>1</v>
      </c>
      <c r="G208">
        <v>1</v>
      </c>
      <c r="H208">
        <v>3</v>
      </c>
      <c r="I208" t="s">
        <v>655</v>
      </c>
      <c r="J208" t="s">
        <v>656</v>
      </c>
      <c r="K208" t="s">
        <v>657</v>
      </c>
      <c r="L208">
        <v>1348</v>
      </c>
      <c r="N208">
        <v>1009</v>
      </c>
      <c r="O208" t="s">
        <v>37</v>
      </c>
      <c r="P208" t="s">
        <v>37</v>
      </c>
      <c r="Q208">
        <v>1000</v>
      </c>
      <c r="W208">
        <v>0</v>
      </c>
      <c r="X208">
        <v>537599481</v>
      </c>
      <c r="Y208">
        <v>0.011</v>
      </c>
      <c r="AA208">
        <v>15629.17</v>
      </c>
      <c r="AB208">
        <v>0</v>
      </c>
      <c r="AC208">
        <v>0</v>
      </c>
      <c r="AD208">
        <v>0</v>
      </c>
      <c r="AE208">
        <v>15629.17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0.011</v>
      </c>
      <c r="AV208">
        <v>0</v>
      </c>
      <c r="AW208">
        <v>2</v>
      </c>
      <c r="AX208">
        <v>51670437</v>
      </c>
      <c r="AY208">
        <v>1</v>
      </c>
      <c r="AZ208">
        <v>0</v>
      </c>
      <c r="BA208">
        <v>184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Y208*Source!I197</f>
        <v>0.0038279999999999994</v>
      </c>
      <c r="CY208">
        <f t="shared" si="22"/>
        <v>15629.17</v>
      </c>
      <c r="CZ208">
        <f t="shared" si="23"/>
        <v>15629.17</v>
      </c>
      <c r="DA208">
        <f t="shared" si="24"/>
        <v>1</v>
      </c>
      <c r="DB208">
        <f t="shared" si="25"/>
        <v>171.92</v>
      </c>
      <c r="DC208">
        <f t="shared" si="26"/>
        <v>0</v>
      </c>
    </row>
    <row r="209" spans="1:107" ht="12.75">
      <c r="A209">
        <f>ROW(Source!A197)</f>
        <v>197</v>
      </c>
      <c r="B209">
        <v>51669678</v>
      </c>
      <c r="C209">
        <v>51670415</v>
      </c>
      <c r="D209">
        <v>270740193</v>
      </c>
      <c r="E209">
        <v>1</v>
      </c>
      <c r="F209">
        <v>1</v>
      </c>
      <c r="G209">
        <v>1</v>
      </c>
      <c r="H209">
        <v>3</v>
      </c>
      <c r="I209" t="s">
        <v>364</v>
      </c>
      <c r="J209" t="s">
        <v>366</v>
      </c>
      <c r="K209" t="s">
        <v>365</v>
      </c>
      <c r="L209">
        <v>36015243</v>
      </c>
      <c r="N209">
        <v>1005</v>
      </c>
      <c r="O209" t="s">
        <v>182</v>
      </c>
      <c r="P209" t="s">
        <v>184</v>
      </c>
      <c r="Q209">
        <v>1</v>
      </c>
      <c r="W209">
        <v>0</v>
      </c>
      <c r="X209">
        <v>1973567642</v>
      </c>
      <c r="Y209">
        <v>100</v>
      </c>
      <c r="AA209">
        <v>238.15</v>
      </c>
      <c r="AB209">
        <v>0</v>
      </c>
      <c r="AC209">
        <v>0</v>
      </c>
      <c r="AD209">
        <v>0</v>
      </c>
      <c r="AE209">
        <v>68.63</v>
      </c>
      <c r="AF209">
        <v>0</v>
      </c>
      <c r="AG209">
        <v>0</v>
      </c>
      <c r="AH209">
        <v>0</v>
      </c>
      <c r="AI209">
        <v>3.47</v>
      </c>
      <c r="AJ209">
        <v>1</v>
      </c>
      <c r="AK209">
        <v>1</v>
      </c>
      <c r="AL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T209">
        <v>100</v>
      </c>
      <c r="AV209">
        <v>0</v>
      </c>
      <c r="AW209">
        <v>1</v>
      </c>
      <c r="AX209">
        <v>-1</v>
      </c>
      <c r="AY209">
        <v>0</v>
      </c>
      <c r="AZ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Y209*Source!I197</f>
        <v>34.8</v>
      </c>
      <c r="CY209">
        <f t="shared" si="22"/>
        <v>238.15</v>
      </c>
      <c r="CZ209">
        <f t="shared" si="23"/>
        <v>68.63</v>
      </c>
      <c r="DA209">
        <f t="shared" si="24"/>
        <v>3.47</v>
      </c>
      <c r="DB209">
        <f t="shared" si="25"/>
        <v>6863</v>
      </c>
      <c r="DC209">
        <f t="shared" si="26"/>
        <v>0</v>
      </c>
    </row>
    <row r="210" spans="1:107" ht="12.75">
      <c r="A210">
        <f>ROW(Source!A197)</f>
        <v>197</v>
      </c>
      <c r="B210">
        <v>51669678</v>
      </c>
      <c r="C210">
        <v>51670415</v>
      </c>
      <c r="D210">
        <v>270770756</v>
      </c>
      <c r="E210">
        <v>1</v>
      </c>
      <c r="F210">
        <v>1</v>
      </c>
      <c r="G210">
        <v>1</v>
      </c>
      <c r="H210">
        <v>3</v>
      </c>
      <c r="I210" t="s">
        <v>684</v>
      </c>
      <c r="J210" t="s">
        <v>685</v>
      </c>
      <c r="K210" t="s">
        <v>686</v>
      </c>
      <c r="L210">
        <v>1348</v>
      </c>
      <c r="N210">
        <v>1009</v>
      </c>
      <c r="O210" t="s">
        <v>37</v>
      </c>
      <c r="P210" t="s">
        <v>37</v>
      </c>
      <c r="Q210">
        <v>1000</v>
      </c>
      <c r="W210">
        <v>0</v>
      </c>
      <c r="X210">
        <v>755212560</v>
      </c>
      <c r="Y210">
        <v>0.00084</v>
      </c>
      <c r="AA210">
        <v>19584.13</v>
      </c>
      <c r="AB210">
        <v>0</v>
      </c>
      <c r="AC210">
        <v>0</v>
      </c>
      <c r="AD210">
        <v>0</v>
      </c>
      <c r="AE210">
        <v>19584.13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0.00084</v>
      </c>
      <c r="AV210">
        <v>0</v>
      </c>
      <c r="AW210">
        <v>2</v>
      </c>
      <c r="AX210">
        <v>51670443</v>
      </c>
      <c r="AY210">
        <v>1</v>
      </c>
      <c r="AZ210">
        <v>0</v>
      </c>
      <c r="BA210">
        <v>190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Y210*Source!I197</f>
        <v>0.00029232</v>
      </c>
      <c r="CY210">
        <f t="shared" si="22"/>
        <v>19584.13</v>
      </c>
      <c r="CZ210">
        <f t="shared" si="23"/>
        <v>19584.13</v>
      </c>
      <c r="DA210">
        <f t="shared" si="24"/>
        <v>1</v>
      </c>
      <c r="DB210">
        <f t="shared" si="25"/>
        <v>16.45</v>
      </c>
      <c r="DC210">
        <f t="shared" si="26"/>
        <v>0</v>
      </c>
    </row>
    <row r="211" spans="1:107" ht="12.75">
      <c r="A211">
        <f>ROW(Source!A199)</f>
        <v>199</v>
      </c>
      <c r="B211">
        <v>51669678</v>
      </c>
      <c r="C211">
        <v>51670445</v>
      </c>
      <c r="D211">
        <v>202541978</v>
      </c>
      <c r="E211">
        <v>1</v>
      </c>
      <c r="F211">
        <v>1</v>
      </c>
      <c r="G211">
        <v>1</v>
      </c>
      <c r="H211">
        <v>1</v>
      </c>
      <c r="I211" t="s">
        <v>687</v>
      </c>
      <c r="K211" t="s">
        <v>688</v>
      </c>
      <c r="L211">
        <v>1369</v>
      </c>
      <c r="N211">
        <v>1013</v>
      </c>
      <c r="O211" t="s">
        <v>462</v>
      </c>
      <c r="P211" t="s">
        <v>462</v>
      </c>
      <c r="Q211">
        <v>1</v>
      </c>
      <c r="W211">
        <v>0</v>
      </c>
      <c r="X211">
        <v>-1020705599</v>
      </c>
      <c r="Y211">
        <v>1.4375</v>
      </c>
      <c r="AA211">
        <v>0</v>
      </c>
      <c r="AB211">
        <v>0</v>
      </c>
      <c r="AC211">
        <v>0</v>
      </c>
      <c r="AD211">
        <v>17.41</v>
      </c>
      <c r="AE211">
        <v>0</v>
      </c>
      <c r="AF211">
        <v>0</v>
      </c>
      <c r="AG211">
        <v>0</v>
      </c>
      <c r="AH211">
        <v>17.41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T211">
        <v>1</v>
      </c>
      <c r="AU211" t="s">
        <v>519</v>
      </c>
      <c r="AV211">
        <v>1</v>
      </c>
      <c r="AW211">
        <v>2</v>
      </c>
      <c r="AX211">
        <v>51670453</v>
      </c>
      <c r="AY211">
        <v>1</v>
      </c>
      <c r="AZ211">
        <v>0</v>
      </c>
      <c r="BA211">
        <v>191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Y211*Source!I199</f>
        <v>4.3125</v>
      </c>
      <c r="CY211">
        <f>AD211</f>
        <v>17.41</v>
      </c>
      <c r="CZ211">
        <f>AH211</f>
        <v>17.41</v>
      </c>
      <c r="DA211">
        <f>AL211</f>
        <v>1</v>
      </c>
      <c r="DB211">
        <f>ROUND(((ROUND(AT211*CZ211,2)*1.15)*1.25),2)</f>
        <v>25.03</v>
      </c>
      <c r="DC211">
        <f>ROUND(((ROUND(AT211*AG211,2)*1.15)*1.25),2)</f>
        <v>0</v>
      </c>
    </row>
    <row r="212" spans="1:107" ht="12.75">
      <c r="A212">
        <f>ROW(Source!A199)</f>
        <v>199</v>
      </c>
      <c r="B212">
        <v>51669678</v>
      </c>
      <c r="C212">
        <v>51670445</v>
      </c>
      <c r="D212">
        <v>270771597</v>
      </c>
      <c r="E212">
        <v>1</v>
      </c>
      <c r="F212">
        <v>1</v>
      </c>
      <c r="G212">
        <v>1</v>
      </c>
      <c r="H212">
        <v>2</v>
      </c>
      <c r="I212" t="s">
        <v>689</v>
      </c>
      <c r="J212" t="s">
        <v>690</v>
      </c>
      <c r="K212" t="s">
        <v>691</v>
      </c>
      <c r="L212">
        <v>1368</v>
      </c>
      <c r="N212">
        <v>1011</v>
      </c>
      <c r="O212" t="s">
        <v>466</v>
      </c>
      <c r="P212" t="s">
        <v>466</v>
      </c>
      <c r="Q212">
        <v>1</v>
      </c>
      <c r="W212">
        <v>0</v>
      </c>
      <c r="X212">
        <v>772824268</v>
      </c>
      <c r="Y212">
        <v>0.296875</v>
      </c>
      <c r="AA212">
        <v>0</v>
      </c>
      <c r="AB212">
        <v>3.12</v>
      </c>
      <c r="AC212">
        <v>0</v>
      </c>
      <c r="AD212">
        <v>0</v>
      </c>
      <c r="AE212">
        <v>0</v>
      </c>
      <c r="AF212">
        <v>3.12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T212">
        <v>0.19</v>
      </c>
      <c r="AU212" t="s">
        <v>139</v>
      </c>
      <c r="AV212">
        <v>0</v>
      </c>
      <c r="AW212">
        <v>2</v>
      </c>
      <c r="AX212">
        <v>51670454</v>
      </c>
      <c r="AY212">
        <v>1</v>
      </c>
      <c r="AZ212">
        <v>0</v>
      </c>
      <c r="BA212">
        <v>192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Y212*Source!I199</f>
        <v>0.890625</v>
      </c>
      <c r="CY212">
        <f>AB212</f>
        <v>3.12</v>
      </c>
      <c r="CZ212">
        <f>AF212</f>
        <v>3.12</v>
      </c>
      <c r="DA212">
        <f>AJ212</f>
        <v>1</v>
      </c>
      <c r="DB212">
        <f>ROUND(((ROUND(AT212*CZ212,2)*1.25)*1.25),2)</f>
        <v>0.92</v>
      </c>
      <c r="DC212">
        <f>ROUND(((ROUND(AT212*AG212,2)*1.25)*1.25),2)</f>
        <v>0</v>
      </c>
    </row>
    <row r="213" spans="1:107" ht="12.75">
      <c r="A213">
        <f>ROW(Source!A199)</f>
        <v>199</v>
      </c>
      <c r="B213">
        <v>51669678</v>
      </c>
      <c r="C213">
        <v>51670445</v>
      </c>
      <c r="D213">
        <v>270771745</v>
      </c>
      <c r="E213">
        <v>1</v>
      </c>
      <c r="F213">
        <v>1</v>
      </c>
      <c r="G213">
        <v>1</v>
      </c>
      <c r="H213">
        <v>2</v>
      </c>
      <c r="I213" t="s">
        <v>615</v>
      </c>
      <c r="J213" t="s">
        <v>616</v>
      </c>
      <c r="K213" t="s">
        <v>617</v>
      </c>
      <c r="L213">
        <v>1368</v>
      </c>
      <c r="N213">
        <v>1011</v>
      </c>
      <c r="O213" t="s">
        <v>466</v>
      </c>
      <c r="P213" t="s">
        <v>466</v>
      </c>
      <c r="Q213">
        <v>1</v>
      </c>
      <c r="W213">
        <v>0</v>
      </c>
      <c r="X213">
        <v>-250074079</v>
      </c>
      <c r="Y213">
        <v>0.125</v>
      </c>
      <c r="AA213">
        <v>0</v>
      </c>
      <c r="AB213">
        <v>8.31</v>
      </c>
      <c r="AC213">
        <v>0</v>
      </c>
      <c r="AD213">
        <v>0</v>
      </c>
      <c r="AE213">
        <v>0</v>
      </c>
      <c r="AF213">
        <v>8.31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0.08</v>
      </c>
      <c r="AU213" t="s">
        <v>139</v>
      </c>
      <c r="AV213">
        <v>0</v>
      </c>
      <c r="AW213">
        <v>2</v>
      </c>
      <c r="AX213">
        <v>51670455</v>
      </c>
      <c r="AY213">
        <v>1</v>
      </c>
      <c r="AZ213">
        <v>0</v>
      </c>
      <c r="BA213">
        <v>193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Y213*Source!I199</f>
        <v>0.375</v>
      </c>
      <c r="CY213">
        <f>AB213</f>
        <v>8.31</v>
      </c>
      <c r="CZ213">
        <f>AF213</f>
        <v>8.31</v>
      </c>
      <c r="DA213">
        <f>AJ213</f>
        <v>1</v>
      </c>
      <c r="DB213">
        <f>ROUND(((ROUND(AT213*CZ213,2)*1.25)*1.25),2)</f>
        <v>1.03</v>
      </c>
      <c r="DC213">
        <f>ROUND(((ROUND(AT213*AG213,2)*1.25)*1.25),2)</f>
        <v>0</v>
      </c>
    </row>
    <row r="214" spans="1:107" ht="12.75">
      <c r="A214">
        <f>ROW(Source!A199)</f>
        <v>199</v>
      </c>
      <c r="B214">
        <v>51669678</v>
      </c>
      <c r="C214">
        <v>51670445</v>
      </c>
      <c r="D214">
        <v>270774071</v>
      </c>
      <c r="E214">
        <v>1</v>
      </c>
      <c r="F214">
        <v>1</v>
      </c>
      <c r="G214">
        <v>1</v>
      </c>
      <c r="H214">
        <v>2</v>
      </c>
      <c r="I214" t="s">
        <v>479</v>
      </c>
      <c r="J214" t="s">
        <v>480</v>
      </c>
      <c r="K214" t="s">
        <v>481</v>
      </c>
      <c r="L214">
        <v>1368</v>
      </c>
      <c r="N214">
        <v>1011</v>
      </c>
      <c r="O214" t="s">
        <v>466</v>
      </c>
      <c r="P214" t="s">
        <v>466</v>
      </c>
      <c r="Q214">
        <v>1</v>
      </c>
      <c r="W214">
        <v>0</v>
      </c>
      <c r="X214">
        <v>1109194647</v>
      </c>
      <c r="Y214">
        <v>0.015625</v>
      </c>
      <c r="AA214">
        <v>0</v>
      </c>
      <c r="AB214">
        <v>119.95</v>
      </c>
      <c r="AC214">
        <v>20.99</v>
      </c>
      <c r="AD214">
        <v>0</v>
      </c>
      <c r="AE214">
        <v>0</v>
      </c>
      <c r="AF214">
        <v>119.95</v>
      </c>
      <c r="AG214">
        <v>20.99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0.01</v>
      </c>
      <c r="AU214" t="s">
        <v>139</v>
      </c>
      <c r="AV214">
        <v>0</v>
      </c>
      <c r="AW214">
        <v>2</v>
      </c>
      <c r="AX214">
        <v>51670456</v>
      </c>
      <c r="AY214">
        <v>1</v>
      </c>
      <c r="AZ214">
        <v>0</v>
      </c>
      <c r="BA214">
        <v>194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Y214*Source!I199</f>
        <v>0.046875</v>
      </c>
      <c r="CY214">
        <f>AB214</f>
        <v>119.95</v>
      </c>
      <c r="CZ214">
        <f>AF214</f>
        <v>119.95</v>
      </c>
      <c r="DA214">
        <f>AJ214</f>
        <v>1</v>
      </c>
      <c r="DB214">
        <f>ROUND(((ROUND(AT214*CZ214,2)*1.25)*1.25),2)</f>
        <v>1.88</v>
      </c>
      <c r="DC214">
        <f>ROUND(((ROUND(AT214*AG214,2)*1.25)*1.25),2)</f>
        <v>0.33</v>
      </c>
    </row>
    <row r="215" spans="1:107" ht="12.75">
      <c r="A215">
        <f>ROW(Source!A199)</f>
        <v>199</v>
      </c>
      <c r="B215">
        <v>51669678</v>
      </c>
      <c r="C215">
        <v>51670445</v>
      </c>
      <c r="D215">
        <v>270723640</v>
      </c>
      <c r="E215">
        <v>1</v>
      </c>
      <c r="F215">
        <v>1</v>
      </c>
      <c r="G215">
        <v>1</v>
      </c>
      <c r="H215">
        <v>3</v>
      </c>
      <c r="I215" t="s">
        <v>626</v>
      </c>
      <c r="J215" t="s">
        <v>627</v>
      </c>
      <c r="K215" t="s">
        <v>628</v>
      </c>
      <c r="L215">
        <v>1348</v>
      </c>
      <c r="N215">
        <v>1009</v>
      </c>
      <c r="O215" t="s">
        <v>37</v>
      </c>
      <c r="P215" t="s">
        <v>37</v>
      </c>
      <c r="Q215">
        <v>1000</v>
      </c>
      <c r="W215">
        <v>0</v>
      </c>
      <c r="X215">
        <v>-1613617557</v>
      </c>
      <c r="Y215">
        <v>7E-05</v>
      </c>
      <c r="AA215">
        <v>14120.9</v>
      </c>
      <c r="AB215">
        <v>0</v>
      </c>
      <c r="AC215">
        <v>0</v>
      </c>
      <c r="AD215">
        <v>0</v>
      </c>
      <c r="AE215">
        <v>14120.9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7E-05</v>
      </c>
      <c r="AV215">
        <v>0</v>
      </c>
      <c r="AW215">
        <v>2</v>
      </c>
      <c r="AX215">
        <v>51670457</v>
      </c>
      <c r="AY215">
        <v>1</v>
      </c>
      <c r="AZ215">
        <v>0</v>
      </c>
      <c r="BA215">
        <v>195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Y215*Source!I199</f>
        <v>0.00020999999999999998</v>
      </c>
      <c r="CY215">
        <f>AA215</f>
        <v>14120.9</v>
      </c>
      <c r="CZ215">
        <f>AE215</f>
        <v>14120.9</v>
      </c>
      <c r="DA215">
        <f>AI215</f>
        <v>1</v>
      </c>
      <c r="DB215">
        <f>ROUND(ROUND(AT215*CZ215,2),2)</f>
        <v>0.99</v>
      </c>
      <c r="DC215">
        <f>ROUND(ROUND(AT215*AG215,2),2)</f>
        <v>0</v>
      </c>
    </row>
    <row r="216" spans="1:107" ht="12.75">
      <c r="A216">
        <f>ROW(Source!A199)</f>
        <v>199</v>
      </c>
      <c r="B216">
        <v>51669678</v>
      </c>
      <c r="C216">
        <v>51670445</v>
      </c>
      <c r="D216">
        <v>270723899</v>
      </c>
      <c r="E216">
        <v>1</v>
      </c>
      <c r="F216">
        <v>1</v>
      </c>
      <c r="G216">
        <v>1</v>
      </c>
      <c r="H216">
        <v>3</v>
      </c>
      <c r="I216" t="s">
        <v>655</v>
      </c>
      <c r="J216" t="s">
        <v>656</v>
      </c>
      <c r="K216" t="s">
        <v>657</v>
      </c>
      <c r="L216">
        <v>1348</v>
      </c>
      <c r="N216">
        <v>1009</v>
      </c>
      <c r="O216" t="s">
        <v>37</v>
      </c>
      <c r="P216" t="s">
        <v>37</v>
      </c>
      <c r="Q216">
        <v>1000</v>
      </c>
      <c r="W216">
        <v>0</v>
      </c>
      <c r="X216">
        <v>537599481</v>
      </c>
      <c r="Y216">
        <v>0.00027</v>
      </c>
      <c r="AA216">
        <v>15629.17</v>
      </c>
      <c r="AB216">
        <v>0</v>
      </c>
      <c r="AC216">
        <v>0</v>
      </c>
      <c r="AD216">
        <v>0</v>
      </c>
      <c r="AE216">
        <v>15629.17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0.00027</v>
      </c>
      <c r="AV216">
        <v>0</v>
      </c>
      <c r="AW216">
        <v>2</v>
      </c>
      <c r="AX216">
        <v>51670458</v>
      </c>
      <c r="AY216">
        <v>1</v>
      </c>
      <c r="AZ216">
        <v>0</v>
      </c>
      <c r="BA216">
        <v>196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Y216*Source!I199</f>
        <v>0.00081</v>
      </c>
      <c r="CY216">
        <f>AA216</f>
        <v>15629.17</v>
      </c>
      <c r="CZ216">
        <f>AE216</f>
        <v>15629.17</v>
      </c>
      <c r="DA216">
        <f>AI216</f>
        <v>1</v>
      </c>
      <c r="DB216">
        <f>ROUND(ROUND(AT216*CZ216,2),2)</f>
        <v>4.22</v>
      </c>
      <c r="DC216">
        <f>ROUND(ROUND(AT216*AG216,2),2)</f>
        <v>0</v>
      </c>
    </row>
    <row r="217" spans="1:107" ht="12.75">
      <c r="A217">
        <f>ROW(Source!A199)</f>
        <v>199</v>
      </c>
      <c r="B217">
        <v>51669678</v>
      </c>
      <c r="C217">
        <v>51670445</v>
      </c>
      <c r="D217">
        <v>270742188</v>
      </c>
      <c r="E217">
        <v>1</v>
      </c>
      <c r="F217">
        <v>1</v>
      </c>
      <c r="G217">
        <v>1</v>
      </c>
      <c r="H217">
        <v>3</v>
      </c>
      <c r="I217" t="s">
        <v>373</v>
      </c>
      <c r="J217" t="s">
        <v>375</v>
      </c>
      <c r="K217" t="s">
        <v>374</v>
      </c>
      <c r="L217">
        <v>1354</v>
      </c>
      <c r="N217">
        <v>1010</v>
      </c>
      <c r="O217" t="s">
        <v>202</v>
      </c>
      <c r="P217" t="s">
        <v>202</v>
      </c>
      <c r="Q217">
        <v>1</v>
      </c>
      <c r="W217">
        <v>0</v>
      </c>
      <c r="X217">
        <v>-933033698</v>
      </c>
      <c r="Y217">
        <v>1</v>
      </c>
      <c r="AA217">
        <v>1104.63</v>
      </c>
      <c r="AB217">
        <v>0</v>
      </c>
      <c r="AC217">
        <v>0</v>
      </c>
      <c r="AD217">
        <v>0</v>
      </c>
      <c r="AE217">
        <v>423.23</v>
      </c>
      <c r="AF217">
        <v>0</v>
      </c>
      <c r="AG217">
        <v>0</v>
      </c>
      <c r="AH217">
        <v>0</v>
      </c>
      <c r="AI217">
        <v>2.61</v>
      </c>
      <c r="AJ217">
        <v>1</v>
      </c>
      <c r="AK217">
        <v>1</v>
      </c>
      <c r="AL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T217">
        <v>1</v>
      </c>
      <c r="AV217">
        <v>0</v>
      </c>
      <c r="AW217">
        <v>1</v>
      </c>
      <c r="AX217">
        <v>-1</v>
      </c>
      <c r="AY217">
        <v>0</v>
      </c>
      <c r="AZ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Y217*Source!I199</f>
        <v>3</v>
      </c>
      <c r="CY217">
        <f>AA217</f>
        <v>1104.63</v>
      </c>
      <c r="CZ217">
        <f>AE217</f>
        <v>423.23</v>
      </c>
      <c r="DA217">
        <f>AI217</f>
        <v>2.61</v>
      </c>
      <c r="DB217">
        <f>ROUND(ROUND(AT217*CZ217,2),2)</f>
        <v>423.23</v>
      </c>
      <c r="DC217">
        <f>ROUND(ROUND(AT217*AG217,2),2)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19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51670023</v>
      </c>
      <c r="C1">
        <v>51670020</v>
      </c>
      <c r="D1">
        <v>202556134</v>
      </c>
      <c r="E1">
        <v>1</v>
      </c>
      <c r="F1">
        <v>1</v>
      </c>
      <c r="G1">
        <v>1</v>
      </c>
      <c r="H1">
        <v>1</v>
      </c>
      <c r="I1" t="s">
        <v>460</v>
      </c>
      <c r="K1" t="s">
        <v>461</v>
      </c>
      <c r="L1">
        <v>1369</v>
      </c>
      <c r="N1">
        <v>1013</v>
      </c>
      <c r="O1" t="s">
        <v>462</v>
      </c>
      <c r="P1" t="s">
        <v>462</v>
      </c>
      <c r="Q1">
        <v>1</v>
      </c>
      <c r="X1">
        <v>55.52</v>
      </c>
      <c r="Y1">
        <v>0</v>
      </c>
      <c r="Z1">
        <v>0</v>
      </c>
      <c r="AA1">
        <v>0</v>
      </c>
      <c r="AB1">
        <v>14.79</v>
      </c>
      <c r="AC1">
        <v>0</v>
      </c>
      <c r="AD1">
        <v>1</v>
      </c>
      <c r="AE1">
        <v>1</v>
      </c>
      <c r="AF1" t="s">
        <v>19</v>
      </c>
      <c r="AG1">
        <v>69.4</v>
      </c>
      <c r="AH1">
        <v>2</v>
      </c>
      <c r="AI1">
        <v>51670021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51670024</v>
      </c>
      <c r="C2">
        <v>51670020</v>
      </c>
      <c r="D2">
        <v>270771603</v>
      </c>
      <c r="E2">
        <v>1</v>
      </c>
      <c r="F2">
        <v>1</v>
      </c>
      <c r="G2">
        <v>1</v>
      </c>
      <c r="H2">
        <v>2</v>
      </c>
      <c r="I2" t="s">
        <v>463</v>
      </c>
      <c r="J2" t="s">
        <v>464</v>
      </c>
      <c r="K2" t="s">
        <v>465</v>
      </c>
      <c r="L2">
        <v>1368</v>
      </c>
      <c r="N2">
        <v>1011</v>
      </c>
      <c r="O2" t="s">
        <v>466</v>
      </c>
      <c r="P2" t="s">
        <v>466</v>
      </c>
      <c r="Q2">
        <v>1</v>
      </c>
      <c r="X2">
        <v>12.7</v>
      </c>
      <c r="Y2">
        <v>0</v>
      </c>
      <c r="Z2">
        <v>6.68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19</v>
      </c>
      <c r="AG2">
        <v>15.875</v>
      </c>
      <c r="AH2">
        <v>2</v>
      </c>
      <c r="AI2">
        <v>51670022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51670030</v>
      </c>
      <c r="C3">
        <v>51670025</v>
      </c>
      <c r="D3">
        <v>202556993</v>
      </c>
      <c r="E3">
        <v>1</v>
      </c>
      <c r="F3">
        <v>1</v>
      </c>
      <c r="G3">
        <v>1</v>
      </c>
      <c r="H3">
        <v>1</v>
      </c>
      <c r="I3" t="s">
        <v>467</v>
      </c>
      <c r="K3" t="s">
        <v>468</v>
      </c>
      <c r="L3">
        <v>1369</v>
      </c>
      <c r="N3">
        <v>1013</v>
      </c>
      <c r="O3" t="s">
        <v>462</v>
      </c>
      <c r="P3" t="s">
        <v>462</v>
      </c>
      <c r="Q3">
        <v>1</v>
      </c>
      <c r="X3">
        <v>15.16</v>
      </c>
      <c r="Y3">
        <v>0</v>
      </c>
      <c r="Z3">
        <v>0</v>
      </c>
      <c r="AA3">
        <v>0</v>
      </c>
      <c r="AB3">
        <v>15.06</v>
      </c>
      <c r="AC3">
        <v>0</v>
      </c>
      <c r="AD3">
        <v>1</v>
      </c>
      <c r="AE3">
        <v>1</v>
      </c>
      <c r="AF3" t="s">
        <v>19</v>
      </c>
      <c r="AG3">
        <v>18.95</v>
      </c>
      <c r="AH3">
        <v>2</v>
      </c>
      <c r="AI3">
        <v>51670026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51670031</v>
      </c>
      <c r="C4">
        <v>51670025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26</v>
      </c>
      <c r="K4" t="s">
        <v>469</v>
      </c>
      <c r="L4">
        <v>608254</v>
      </c>
      <c r="N4">
        <v>1013</v>
      </c>
      <c r="O4" t="s">
        <v>470</v>
      </c>
      <c r="P4" t="s">
        <v>470</v>
      </c>
      <c r="Q4">
        <v>1</v>
      </c>
      <c r="X4">
        <v>0.46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19</v>
      </c>
      <c r="AG4">
        <v>0.5750000000000001</v>
      </c>
      <c r="AH4">
        <v>2</v>
      </c>
      <c r="AI4">
        <v>51670027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51670032</v>
      </c>
      <c r="C5">
        <v>51670025</v>
      </c>
      <c r="D5">
        <v>270771356</v>
      </c>
      <c r="E5">
        <v>1</v>
      </c>
      <c r="F5">
        <v>1</v>
      </c>
      <c r="G5">
        <v>1</v>
      </c>
      <c r="H5">
        <v>2</v>
      </c>
      <c r="I5" t="s">
        <v>471</v>
      </c>
      <c r="J5" t="s">
        <v>472</v>
      </c>
      <c r="K5" t="s">
        <v>473</v>
      </c>
      <c r="L5">
        <v>1368</v>
      </c>
      <c r="N5">
        <v>1011</v>
      </c>
      <c r="O5" t="s">
        <v>466</v>
      </c>
      <c r="P5" t="s">
        <v>466</v>
      </c>
      <c r="Q5">
        <v>1</v>
      </c>
      <c r="X5">
        <v>0.46</v>
      </c>
      <c r="Y5">
        <v>0</v>
      </c>
      <c r="Z5">
        <v>98.9</v>
      </c>
      <c r="AA5">
        <v>24.53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0.5750000000000001</v>
      </c>
      <c r="AH5">
        <v>2</v>
      </c>
      <c r="AI5">
        <v>51670028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51670033</v>
      </c>
      <c r="C6">
        <v>51670025</v>
      </c>
      <c r="D6">
        <v>270762773</v>
      </c>
      <c r="E6">
        <v>1</v>
      </c>
      <c r="F6">
        <v>1</v>
      </c>
      <c r="G6">
        <v>1</v>
      </c>
      <c r="H6">
        <v>3</v>
      </c>
      <c r="I6" t="s">
        <v>35</v>
      </c>
      <c r="J6" t="s">
        <v>38</v>
      </c>
      <c r="K6" t="s">
        <v>36</v>
      </c>
      <c r="L6">
        <v>1348</v>
      </c>
      <c r="N6">
        <v>1009</v>
      </c>
      <c r="O6" t="s">
        <v>37</v>
      </c>
      <c r="P6" t="s">
        <v>37</v>
      </c>
      <c r="Q6">
        <v>1000</v>
      </c>
      <c r="X6">
        <v>1.4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>
        <v>1.4</v>
      </c>
      <c r="AH6">
        <v>2</v>
      </c>
      <c r="AI6">
        <v>51670029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ROW(Source!A31)</f>
        <v>31</v>
      </c>
      <c r="B7">
        <v>51670038</v>
      </c>
      <c r="C7">
        <v>51670035</v>
      </c>
      <c r="D7">
        <v>202556134</v>
      </c>
      <c r="E7">
        <v>1</v>
      </c>
      <c r="F7">
        <v>1</v>
      </c>
      <c r="G7">
        <v>1</v>
      </c>
      <c r="H7">
        <v>1</v>
      </c>
      <c r="I7" t="s">
        <v>460</v>
      </c>
      <c r="K7" t="s">
        <v>461</v>
      </c>
      <c r="L7">
        <v>1369</v>
      </c>
      <c r="N7">
        <v>1013</v>
      </c>
      <c r="O7" t="s">
        <v>462</v>
      </c>
      <c r="P7" t="s">
        <v>462</v>
      </c>
      <c r="Q7">
        <v>1</v>
      </c>
      <c r="X7">
        <v>8.58</v>
      </c>
      <c r="Y7">
        <v>0</v>
      </c>
      <c r="Z7">
        <v>0</v>
      </c>
      <c r="AA7">
        <v>0</v>
      </c>
      <c r="AB7">
        <v>14.79</v>
      </c>
      <c r="AC7">
        <v>0</v>
      </c>
      <c r="AD7">
        <v>1</v>
      </c>
      <c r="AE7">
        <v>1</v>
      </c>
      <c r="AF7" t="s">
        <v>19</v>
      </c>
      <c r="AG7">
        <v>10.725</v>
      </c>
      <c r="AH7">
        <v>2</v>
      </c>
      <c r="AI7">
        <v>51670036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51670039</v>
      </c>
      <c r="C8">
        <v>51670035</v>
      </c>
      <c r="D8">
        <v>270771603</v>
      </c>
      <c r="E8">
        <v>1</v>
      </c>
      <c r="F8">
        <v>1</v>
      </c>
      <c r="G8">
        <v>1</v>
      </c>
      <c r="H8">
        <v>2</v>
      </c>
      <c r="I8" t="s">
        <v>463</v>
      </c>
      <c r="J8" t="s">
        <v>464</v>
      </c>
      <c r="K8" t="s">
        <v>465</v>
      </c>
      <c r="L8">
        <v>1368</v>
      </c>
      <c r="N8">
        <v>1011</v>
      </c>
      <c r="O8" t="s">
        <v>466</v>
      </c>
      <c r="P8" t="s">
        <v>466</v>
      </c>
      <c r="Q8">
        <v>1</v>
      </c>
      <c r="X8">
        <v>1.88</v>
      </c>
      <c r="Y8">
        <v>0</v>
      </c>
      <c r="Z8">
        <v>6.68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19</v>
      </c>
      <c r="AG8">
        <v>2.3499999999999996</v>
      </c>
      <c r="AH8">
        <v>2</v>
      </c>
      <c r="AI8">
        <v>51670037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51670049</v>
      </c>
      <c r="C9">
        <v>51670040</v>
      </c>
      <c r="D9">
        <v>202548993</v>
      </c>
      <c r="E9">
        <v>1</v>
      </c>
      <c r="F9">
        <v>1</v>
      </c>
      <c r="G9">
        <v>1</v>
      </c>
      <c r="H9">
        <v>1</v>
      </c>
      <c r="I9" t="s">
        <v>474</v>
      </c>
      <c r="K9" t="s">
        <v>475</v>
      </c>
      <c r="L9">
        <v>1369</v>
      </c>
      <c r="N9">
        <v>1013</v>
      </c>
      <c r="O9" t="s">
        <v>462</v>
      </c>
      <c r="P9" t="s">
        <v>462</v>
      </c>
      <c r="Q9">
        <v>1</v>
      </c>
      <c r="X9">
        <v>12.86</v>
      </c>
      <c r="Y9">
        <v>0</v>
      </c>
      <c r="Z9">
        <v>0</v>
      </c>
      <c r="AA9">
        <v>0</v>
      </c>
      <c r="AB9">
        <v>16.17</v>
      </c>
      <c r="AC9">
        <v>0</v>
      </c>
      <c r="AD9">
        <v>1</v>
      </c>
      <c r="AE9">
        <v>1</v>
      </c>
      <c r="AF9" t="s">
        <v>52</v>
      </c>
      <c r="AG9">
        <v>12.86</v>
      </c>
      <c r="AH9">
        <v>2</v>
      </c>
      <c r="AI9">
        <v>51670041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ROW(Source!A32)</f>
        <v>32</v>
      </c>
      <c r="B10">
        <v>51670050</v>
      </c>
      <c r="C10">
        <v>51670040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K10" t="s">
        <v>469</v>
      </c>
      <c r="L10">
        <v>608254</v>
      </c>
      <c r="N10">
        <v>1013</v>
      </c>
      <c r="O10" t="s">
        <v>470</v>
      </c>
      <c r="P10" t="s">
        <v>470</v>
      </c>
      <c r="Q10">
        <v>1</v>
      </c>
      <c r="X10">
        <v>0.15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52</v>
      </c>
      <c r="AG10">
        <v>0.15</v>
      </c>
      <c r="AH10">
        <v>2</v>
      </c>
      <c r="AI10">
        <v>51670042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ROW(Source!A32)</f>
        <v>32</v>
      </c>
      <c r="B11">
        <v>51670051</v>
      </c>
      <c r="C11">
        <v>51670040</v>
      </c>
      <c r="D11">
        <v>270771467</v>
      </c>
      <c r="E11">
        <v>1</v>
      </c>
      <c r="F11">
        <v>1</v>
      </c>
      <c r="G11">
        <v>1</v>
      </c>
      <c r="H11">
        <v>2</v>
      </c>
      <c r="I11" t="s">
        <v>476</v>
      </c>
      <c r="J11" t="s">
        <v>477</v>
      </c>
      <c r="K11" t="s">
        <v>478</v>
      </c>
      <c r="L11">
        <v>1368</v>
      </c>
      <c r="N11">
        <v>1011</v>
      </c>
      <c r="O11" t="s">
        <v>466</v>
      </c>
      <c r="P11" t="s">
        <v>466</v>
      </c>
      <c r="Q11">
        <v>1</v>
      </c>
      <c r="X11">
        <v>0.15</v>
      </c>
      <c r="Y11">
        <v>0</v>
      </c>
      <c r="Z11">
        <v>125.73</v>
      </c>
      <c r="AA11">
        <v>24.53</v>
      </c>
      <c r="AB11">
        <v>0</v>
      </c>
      <c r="AC11">
        <v>0</v>
      </c>
      <c r="AD11">
        <v>1</v>
      </c>
      <c r="AE11">
        <v>0</v>
      </c>
      <c r="AF11" t="s">
        <v>52</v>
      </c>
      <c r="AG11">
        <v>0.15</v>
      </c>
      <c r="AH11">
        <v>2</v>
      </c>
      <c r="AI11">
        <v>51670043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51670052</v>
      </c>
      <c r="C12">
        <v>51670040</v>
      </c>
      <c r="D12">
        <v>270774071</v>
      </c>
      <c r="E12">
        <v>1</v>
      </c>
      <c r="F12">
        <v>1</v>
      </c>
      <c r="G12">
        <v>1</v>
      </c>
      <c r="H12">
        <v>2</v>
      </c>
      <c r="I12" t="s">
        <v>479</v>
      </c>
      <c r="J12" t="s">
        <v>480</v>
      </c>
      <c r="K12" t="s">
        <v>481</v>
      </c>
      <c r="L12">
        <v>1368</v>
      </c>
      <c r="N12">
        <v>1011</v>
      </c>
      <c r="O12" t="s">
        <v>466</v>
      </c>
      <c r="P12" t="s">
        <v>466</v>
      </c>
      <c r="Q12">
        <v>1</v>
      </c>
      <c r="X12">
        <v>0.22</v>
      </c>
      <c r="Y12">
        <v>0</v>
      </c>
      <c r="Z12">
        <v>119.95</v>
      </c>
      <c r="AA12">
        <v>20.99</v>
      </c>
      <c r="AB12">
        <v>0</v>
      </c>
      <c r="AC12">
        <v>0</v>
      </c>
      <c r="AD12">
        <v>1</v>
      </c>
      <c r="AE12">
        <v>0</v>
      </c>
      <c r="AF12" t="s">
        <v>52</v>
      </c>
      <c r="AG12">
        <v>0.22000000000000003</v>
      </c>
      <c r="AH12">
        <v>2</v>
      </c>
      <c r="AI12">
        <v>51670044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ROW(Source!A32)</f>
        <v>32</v>
      </c>
      <c r="B13">
        <v>51670053</v>
      </c>
      <c r="C13">
        <v>51670040</v>
      </c>
      <c r="D13">
        <v>270723256</v>
      </c>
      <c r="E13">
        <v>1</v>
      </c>
      <c r="F13">
        <v>1</v>
      </c>
      <c r="G13">
        <v>1</v>
      </c>
      <c r="H13">
        <v>3</v>
      </c>
      <c r="I13" t="s">
        <v>482</v>
      </c>
      <c r="J13" t="s">
        <v>483</v>
      </c>
      <c r="K13" t="s">
        <v>484</v>
      </c>
      <c r="L13">
        <v>1348</v>
      </c>
      <c r="N13">
        <v>1009</v>
      </c>
      <c r="O13" t="s">
        <v>37</v>
      </c>
      <c r="P13" t="s">
        <v>37</v>
      </c>
      <c r="Q13">
        <v>1000</v>
      </c>
      <c r="X13">
        <v>0.00438</v>
      </c>
      <c r="Y13">
        <v>2964.62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51</v>
      </c>
      <c r="AG13">
        <v>0</v>
      </c>
      <c r="AH13">
        <v>2</v>
      </c>
      <c r="AI13">
        <v>51670045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ROW(Source!A32)</f>
        <v>32</v>
      </c>
      <c r="B14">
        <v>51670054</v>
      </c>
      <c r="C14">
        <v>51670040</v>
      </c>
      <c r="D14">
        <v>270718009</v>
      </c>
      <c r="E14">
        <v>1</v>
      </c>
      <c r="F14">
        <v>1</v>
      </c>
      <c r="G14">
        <v>1</v>
      </c>
      <c r="H14">
        <v>3</v>
      </c>
      <c r="I14" t="s">
        <v>485</v>
      </c>
      <c r="J14" t="s">
        <v>486</v>
      </c>
      <c r="K14" t="s">
        <v>487</v>
      </c>
      <c r="L14">
        <v>36015243</v>
      </c>
      <c r="N14">
        <v>1005</v>
      </c>
      <c r="O14" t="s">
        <v>182</v>
      </c>
      <c r="P14" t="s">
        <v>184</v>
      </c>
      <c r="Q14">
        <v>1</v>
      </c>
      <c r="X14">
        <v>3.38</v>
      </c>
      <c r="Y14">
        <v>4.6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51</v>
      </c>
      <c r="AG14">
        <v>0</v>
      </c>
      <c r="AH14">
        <v>2</v>
      </c>
      <c r="AI14">
        <v>51670046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51670055</v>
      </c>
      <c r="C15">
        <v>51670040</v>
      </c>
      <c r="D15">
        <v>270723982</v>
      </c>
      <c r="E15">
        <v>1</v>
      </c>
      <c r="F15">
        <v>1</v>
      </c>
      <c r="G15">
        <v>1</v>
      </c>
      <c r="H15">
        <v>3</v>
      </c>
      <c r="I15" t="s">
        <v>488</v>
      </c>
      <c r="J15" t="s">
        <v>489</v>
      </c>
      <c r="K15" t="s">
        <v>490</v>
      </c>
      <c r="L15">
        <v>1348</v>
      </c>
      <c r="N15">
        <v>1009</v>
      </c>
      <c r="O15" t="s">
        <v>37</v>
      </c>
      <c r="P15" t="s">
        <v>37</v>
      </c>
      <c r="Q15">
        <v>1000</v>
      </c>
      <c r="X15">
        <v>0.0072</v>
      </c>
      <c r="Y15">
        <v>10672.41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51</v>
      </c>
      <c r="AG15">
        <v>0</v>
      </c>
      <c r="AH15">
        <v>2</v>
      </c>
      <c r="AI15">
        <v>51670047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ROW(Source!A32)</f>
        <v>32</v>
      </c>
      <c r="B16">
        <v>51670056</v>
      </c>
      <c r="C16">
        <v>51670040</v>
      </c>
      <c r="D16">
        <v>270733083</v>
      </c>
      <c r="E16">
        <v>1</v>
      </c>
      <c r="F16">
        <v>1</v>
      </c>
      <c r="G16">
        <v>1</v>
      </c>
      <c r="H16">
        <v>3</v>
      </c>
      <c r="I16" t="s">
        <v>491</v>
      </c>
      <c r="J16" t="s">
        <v>492</v>
      </c>
      <c r="K16" t="s">
        <v>493</v>
      </c>
      <c r="L16">
        <v>1348</v>
      </c>
      <c r="N16">
        <v>1009</v>
      </c>
      <c r="O16" t="s">
        <v>37</v>
      </c>
      <c r="P16" t="s">
        <v>37</v>
      </c>
      <c r="Q16">
        <v>1000</v>
      </c>
      <c r="X16">
        <v>0.00196</v>
      </c>
      <c r="Y16">
        <v>9903.12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51</v>
      </c>
      <c r="AG16">
        <v>0</v>
      </c>
      <c r="AH16">
        <v>2</v>
      </c>
      <c r="AI16">
        <v>51670048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ROW(Source!A33)</f>
        <v>33</v>
      </c>
      <c r="B17">
        <v>51670061</v>
      </c>
      <c r="C17">
        <v>51670057</v>
      </c>
      <c r="D17">
        <v>202556134</v>
      </c>
      <c r="E17">
        <v>1</v>
      </c>
      <c r="F17">
        <v>1</v>
      </c>
      <c r="G17">
        <v>1</v>
      </c>
      <c r="H17">
        <v>1</v>
      </c>
      <c r="I17" t="s">
        <v>460</v>
      </c>
      <c r="K17" t="s">
        <v>461</v>
      </c>
      <c r="L17">
        <v>1369</v>
      </c>
      <c r="N17">
        <v>1013</v>
      </c>
      <c r="O17" t="s">
        <v>462</v>
      </c>
      <c r="P17" t="s">
        <v>462</v>
      </c>
      <c r="Q17">
        <v>1</v>
      </c>
      <c r="X17">
        <v>9.21</v>
      </c>
      <c r="Y17">
        <v>0</v>
      </c>
      <c r="Z17">
        <v>0</v>
      </c>
      <c r="AA17">
        <v>0</v>
      </c>
      <c r="AB17">
        <v>14.79</v>
      </c>
      <c r="AC17">
        <v>0</v>
      </c>
      <c r="AD17">
        <v>1</v>
      </c>
      <c r="AE17">
        <v>1</v>
      </c>
      <c r="AF17" t="s">
        <v>19</v>
      </c>
      <c r="AG17">
        <v>11.512500000000001</v>
      </c>
      <c r="AH17">
        <v>2</v>
      </c>
      <c r="AI17">
        <v>51670058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ROW(Source!A33)</f>
        <v>33</v>
      </c>
      <c r="B18">
        <v>51670062</v>
      </c>
      <c r="C18">
        <v>51670057</v>
      </c>
      <c r="D18">
        <v>270771601</v>
      </c>
      <c r="E18">
        <v>1</v>
      </c>
      <c r="F18">
        <v>1</v>
      </c>
      <c r="G18">
        <v>1</v>
      </c>
      <c r="H18">
        <v>2</v>
      </c>
      <c r="I18" t="s">
        <v>494</v>
      </c>
      <c r="J18" t="s">
        <v>495</v>
      </c>
      <c r="K18" t="s">
        <v>496</v>
      </c>
      <c r="L18">
        <v>1368</v>
      </c>
      <c r="N18">
        <v>1011</v>
      </c>
      <c r="O18" t="s">
        <v>466</v>
      </c>
      <c r="P18" t="s">
        <v>466</v>
      </c>
      <c r="Q18">
        <v>1</v>
      </c>
      <c r="X18">
        <v>0.11</v>
      </c>
      <c r="Y18">
        <v>0</v>
      </c>
      <c r="Z18">
        <v>1.71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0.1375</v>
      </c>
      <c r="AH18">
        <v>2</v>
      </c>
      <c r="AI18">
        <v>51670059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ROW(Source!A33)</f>
        <v>33</v>
      </c>
      <c r="B19">
        <v>51670063</v>
      </c>
      <c r="C19">
        <v>51670057</v>
      </c>
      <c r="D19">
        <v>270762773</v>
      </c>
      <c r="E19">
        <v>1</v>
      </c>
      <c r="F19">
        <v>1</v>
      </c>
      <c r="G19">
        <v>1</v>
      </c>
      <c r="H19">
        <v>3</v>
      </c>
      <c r="I19" t="s">
        <v>35</v>
      </c>
      <c r="J19" t="s">
        <v>38</v>
      </c>
      <c r="K19" t="s">
        <v>36</v>
      </c>
      <c r="L19">
        <v>1348</v>
      </c>
      <c r="N19">
        <v>1009</v>
      </c>
      <c r="O19" t="s">
        <v>37</v>
      </c>
      <c r="P19" t="s">
        <v>37</v>
      </c>
      <c r="Q19">
        <v>1000</v>
      </c>
      <c r="X19">
        <v>0.1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0.1</v>
      </c>
      <c r="AH19">
        <v>2</v>
      </c>
      <c r="AI19">
        <v>51670060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ROW(Source!A35)</f>
        <v>35</v>
      </c>
      <c r="B20">
        <v>51670071</v>
      </c>
      <c r="C20">
        <v>51670065</v>
      </c>
      <c r="D20">
        <v>202548993</v>
      </c>
      <c r="E20">
        <v>1</v>
      </c>
      <c r="F20">
        <v>1</v>
      </c>
      <c r="G20">
        <v>1</v>
      </c>
      <c r="H20">
        <v>1</v>
      </c>
      <c r="I20" t="s">
        <v>474</v>
      </c>
      <c r="K20" t="s">
        <v>475</v>
      </c>
      <c r="L20">
        <v>1369</v>
      </c>
      <c r="N20">
        <v>1013</v>
      </c>
      <c r="O20" t="s">
        <v>462</v>
      </c>
      <c r="P20" t="s">
        <v>462</v>
      </c>
      <c r="Q20">
        <v>1</v>
      </c>
      <c r="X20">
        <v>18.7</v>
      </c>
      <c r="Y20">
        <v>0</v>
      </c>
      <c r="Z20">
        <v>0</v>
      </c>
      <c r="AA20">
        <v>0</v>
      </c>
      <c r="AB20">
        <v>16.17</v>
      </c>
      <c r="AC20">
        <v>0</v>
      </c>
      <c r="AD20">
        <v>1</v>
      </c>
      <c r="AE20">
        <v>1</v>
      </c>
      <c r="AF20" t="s">
        <v>19</v>
      </c>
      <c r="AG20">
        <v>23.375</v>
      </c>
      <c r="AH20">
        <v>2</v>
      </c>
      <c r="AI20">
        <v>51670066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ROW(Source!A35)</f>
        <v>35</v>
      </c>
      <c r="B21">
        <v>51670072</v>
      </c>
      <c r="C21">
        <v>51670065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26</v>
      </c>
      <c r="K21" t="s">
        <v>469</v>
      </c>
      <c r="L21">
        <v>608254</v>
      </c>
      <c r="N21">
        <v>1013</v>
      </c>
      <c r="O21" t="s">
        <v>470</v>
      </c>
      <c r="P21" t="s">
        <v>470</v>
      </c>
      <c r="Q21">
        <v>1</v>
      </c>
      <c r="X21">
        <v>0.01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19</v>
      </c>
      <c r="AG21">
        <v>0.0125</v>
      </c>
      <c r="AH21">
        <v>2</v>
      </c>
      <c r="AI21">
        <v>51670067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ROW(Source!A35)</f>
        <v>35</v>
      </c>
      <c r="B22">
        <v>51670073</v>
      </c>
      <c r="C22">
        <v>51670065</v>
      </c>
      <c r="D22">
        <v>270771644</v>
      </c>
      <c r="E22">
        <v>1</v>
      </c>
      <c r="F22">
        <v>1</v>
      </c>
      <c r="G22">
        <v>1</v>
      </c>
      <c r="H22">
        <v>2</v>
      </c>
      <c r="I22" t="s">
        <v>497</v>
      </c>
      <c r="J22" t="s">
        <v>498</v>
      </c>
      <c r="K22" t="s">
        <v>499</v>
      </c>
      <c r="L22">
        <v>1368</v>
      </c>
      <c r="N22">
        <v>1011</v>
      </c>
      <c r="O22" t="s">
        <v>466</v>
      </c>
      <c r="P22" t="s">
        <v>466</v>
      </c>
      <c r="Q22">
        <v>1</v>
      </c>
      <c r="X22">
        <v>0.01</v>
      </c>
      <c r="Y22">
        <v>0</v>
      </c>
      <c r="Z22">
        <v>41.7</v>
      </c>
      <c r="AA22">
        <v>24.53</v>
      </c>
      <c r="AB22">
        <v>0</v>
      </c>
      <c r="AC22">
        <v>0</v>
      </c>
      <c r="AD22">
        <v>1</v>
      </c>
      <c r="AE22">
        <v>0</v>
      </c>
      <c r="AF22" t="s">
        <v>19</v>
      </c>
      <c r="AG22">
        <v>0.0125</v>
      </c>
      <c r="AH22">
        <v>2</v>
      </c>
      <c r="AI22">
        <v>51670068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ROW(Source!A35)</f>
        <v>35</v>
      </c>
      <c r="B23">
        <v>51670074</v>
      </c>
      <c r="C23">
        <v>51670065</v>
      </c>
      <c r="D23">
        <v>270705163</v>
      </c>
      <c r="E23">
        <v>1</v>
      </c>
      <c r="F23">
        <v>1</v>
      </c>
      <c r="G23">
        <v>1</v>
      </c>
      <c r="H23">
        <v>3</v>
      </c>
      <c r="I23" t="s">
        <v>500</v>
      </c>
      <c r="J23" t="s">
        <v>501</v>
      </c>
      <c r="K23" t="s">
        <v>502</v>
      </c>
      <c r="L23">
        <v>1348</v>
      </c>
      <c r="N23">
        <v>1009</v>
      </c>
      <c r="O23" t="s">
        <v>37</v>
      </c>
      <c r="P23" t="s">
        <v>37</v>
      </c>
      <c r="Q23">
        <v>1000</v>
      </c>
      <c r="X23">
        <v>0.04</v>
      </c>
      <c r="Y23">
        <v>890.47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0.04</v>
      </c>
      <c r="AH23">
        <v>2</v>
      </c>
      <c r="AI23">
        <v>51670069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ROW(Source!A35)</f>
        <v>35</v>
      </c>
      <c r="B24">
        <v>51670075</v>
      </c>
      <c r="C24">
        <v>51670065</v>
      </c>
      <c r="D24">
        <v>270705963</v>
      </c>
      <c r="E24">
        <v>1</v>
      </c>
      <c r="F24">
        <v>1</v>
      </c>
      <c r="G24">
        <v>1</v>
      </c>
      <c r="H24">
        <v>3</v>
      </c>
      <c r="I24" t="s">
        <v>503</v>
      </c>
      <c r="J24" t="s">
        <v>504</v>
      </c>
      <c r="K24" t="s">
        <v>505</v>
      </c>
      <c r="L24">
        <v>1339</v>
      </c>
      <c r="N24">
        <v>1007</v>
      </c>
      <c r="O24" t="s">
        <v>149</v>
      </c>
      <c r="P24" t="s">
        <v>149</v>
      </c>
      <c r="Q24">
        <v>1</v>
      </c>
      <c r="X24">
        <v>0.017</v>
      </c>
      <c r="Y24">
        <v>2.16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0.017</v>
      </c>
      <c r="AH24">
        <v>2</v>
      </c>
      <c r="AI24">
        <v>51670070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ROW(Source!A36)</f>
        <v>36</v>
      </c>
      <c r="B25">
        <v>51670924</v>
      </c>
      <c r="C25">
        <v>51670917</v>
      </c>
      <c r="D25">
        <v>202542883</v>
      </c>
      <c r="E25">
        <v>1</v>
      </c>
      <c r="F25">
        <v>1</v>
      </c>
      <c r="G25">
        <v>1</v>
      </c>
      <c r="H25">
        <v>1</v>
      </c>
      <c r="I25" t="s">
        <v>506</v>
      </c>
      <c r="K25" t="s">
        <v>507</v>
      </c>
      <c r="L25">
        <v>1369</v>
      </c>
      <c r="N25">
        <v>1013</v>
      </c>
      <c r="O25" t="s">
        <v>462</v>
      </c>
      <c r="P25" t="s">
        <v>462</v>
      </c>
      <c r="Q25">
        <v>1</v>
      </c>
      <c r="X25">
        <v>9.27</v>
      </c>
      <c r="Y25">
        <v>0</v>
      </c>
      <c r="Z25">
        <v>0</v>
      </c>
      <c r="AA25">
        <v>0</v>
      </c>
      <c r="AB25">
        <v>17.83</v>
      </c>
      <c r="AC25">
        <v>0</v>
      </c>
      <c r="AD25">
        <v>1</v>
      </c>
      <c r="AE25">
        <v>1</v>
      </c>
      <c r="AF25" t="s">
        <v>75</v>
      </c>
      <c r="AG25">
        <v>8.5284</v>
      </c>
      <c r="AH25">
        <v>2</v>
      </c>
      <c r="AI25">
        <v>51670918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ROW(Source!A36)</f>
        <v>36</v>
      </c>
      <c r="B26">
        <v>51670925</v>
      </c>
      <c r="C26">
        <v>51670917</v>
      </c>
      <c r="D26">
        <v>270771603</v>
      </c>
      <c r="E26">
        <v>1</v>
      </c>
      <c r="F26">
        <v>1</v>
      </c>
      <c r="G26">
        <v>1</v>
      </c>
      <c r="H26">
        <v>2</v>
      </c>
      <c r="I26" t="s">
        <v>463</v>
      </c>
      <c r="J26" t="s">
        <v>464</v>
      </c>
      <c r="K26" t="s">
        <v>465</v>
      </c>
      <c r="L26">
        <v>1368</v>
      </c>
      <c r="N26">
        <v>1011</v>
      </c>
      <c r="O26" t="s">
        <v>466</v>
      </c>
      <c r="P26" t="s">
        <v>466</v>
      </c>
      <c r="Q26">
        <v>1</v>
      </c>
      <c r="X26">
        <v>0.44</v>
      </c>
      <c r="Y26">
        <v>0</v>
      </c>
      <c r="Z26">
        <v>6.68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74</v>
      </c>
      <c r="AG26">
        <v>0.44000000000000006</v>
      </c>
      <c r="AH26">
        <v>2</v>
      </c>
      <c r="AI26">
        <v>51670919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ROW(Source!A36)</f>
        <v>36</v>
      </c>
      <c r="B27">
        <v>51670926</v>
      </c>
      <c r="C27">
        <v>51670917</v>
      </c>
      <c r="D27">
        <v>270772347</v>
      </c>
      <c r="E27">
        <v>1</v>
      </c>
      <c r="F27">
        <v>1</v>
      </c>
      <c r="G27">
        <v>1</v>
      </c>
      <c r="H27">
        <v>2</v>
      </c>
      <c r="I27" t="s">
        <v>508</v>
      </c>
      <c r="J27" t="s">
        <v>509</v>
      </c>
      <c r="K27" t="s">
        <v>510</v>
      </c>
      <c r="L27">
        <v>1368</v>
      </c>
      <c r="N27">
        <v>1011</v>
      </c>
      <c r="O27" t="s">
        <v>466</v>
      </c>
      <c r="P27" t="s">
        <v>466</v>
      </c>
      <c r="Q27">
        <v>1</v>
      </c>
      <c r="X27">
        <v>0.29</v>
      </c>
      <c r="Y27">
        <v>0</v>
      </c>
      <c r="Z27">
        <v>30.59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74</v>
      </c>
      <c r="AG27">
        <v>0.29</v>
      </c>
      <c r="AH27">
        <v>2</v>
      </c>
      <c r="AI27">
        <v>51670920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ROW(Source!A36)</f>
        <v>36</v>
      </c>
      <c r="B28">
        <v>51670927</v>
      </c>
      <c r="C28">
        <v>51670917</v>
      </c>
      <c r="D28">
        <v>270774071</v>
      </c>
      <c r="E28">
        <v>1</v>
      </c>
      <c r="F28">
        <v>1</v>
      </c>
      <c r="G28">
        <v>1</v>
      </c>
      <c r="H28">
        <v>2</v>
      </c>
      <c r="I28" t="s">
        <v>479</v>
      </c>
      <c r="J28" t="s">
        <v>480</v>
      </c>
      <c r="K28" t="s">
        <v>481</v>
      </c>
      <c r="L28">
        <v>1368</v>
      </c>
      <c r="N28">
        <v>1011</v>
      </c>
      <c r="O28" t="s">
        <v>466</v>
      </c>
      <c r="P28" t="s">
        <v>466</v>
      </c>
      <c r="Q28">
        <v>1</v>
      </c>
      <c r="X28">
        <v>0.34</v>
      </c>
      <c r="Y28">
        <v>0</v>
      </c>
      <c r="Z28">
        <v>119.95</v>
      </c>
      <c r="AA28">
        <v>20.99</v>
      </c>
      <c r="AB28">
        <v>0</v>
      </c>
      <c r="AC28">
        <v>0</v>
      </c>
      <c r="AD28">
        <v>1</v>
      </c>
      <c r="AE28">
        <v>0</v>
      </c>
      <c r="AF28" t="s">
        <v>74</v>
      </c>
      <c r="AG28">
        <v>0.3400000000000001</v>
      </c>
      <c r="AH28">
        <v>2</v>
      </c>
      <c r="AI28">
        <v>51670921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ROW(Source!A36)</f>
        <v>36</v>
      </c>
      <c r="B29">
        <v>51670928</v>
      </c>
      <c r="C29">
        <v>51670917</v>
      </c>
      <c r="D29">
        <v>270717046</v>
      </c>
      <c r="E29">
        <v>1</v>
      </c>
      <c r="F29">
        <v>1</v>
      </c>
      <c r="G29">
        <v>1</v>
      </c>
      <c r="H29">
        <v>3</v>
      </c>
      <c r="I29" t="s">
        <v>511</v>
      </c>
      <c r="J29" t="s">
        <v>512</v>
      </c>
      <c r="K29" t="s">
        <v>513</v>
      </c>
      <c r="L29">
        <v>1348</v>
      </c>
      <c r="N29">
        <v>1009</v>
      </c>
      <c r="O29" t="s">
        <v>37</v>
      </c>
      <c r="P29" t="s">
        <v>37</v>
      </c>
      <c r="Q29">
        <v>1000</v>
      </c>
      <c r="X29">
        <v>0.05</v>
      </c>
      <c r="Y29">
        <v>1808.47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51</v>
      </c>
      <c r="AG29">
        <v>0</v>
      </c>
      <c r="AH29">
        <v>2</v>
      </c>
      <c r="AI29">
        <v>51670922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ROW(Source!A36)</f>
        <v>36</v>
      </c>
      <c r="B30">
        <v>51670929</v>
      </c>
      <c r="C30">
        <v>51670917</v>
      </c>
      <c r="D30">
        <v>270728628</v>
      </c>
      <c r="E30">
        <v>1</v>
      </c>
      <c r="F30">
        <v>1</v>
      </c>
      <c r="G30">
        <v>1</v>
      </c>
      <c r="H30">
        <v>3</v>
      </c>
      <c r="I30" t="s">
        <v>514</v>
      </c>
      <c r="J30" t="s">
        <v>515</v>
      </c>
      <c r="K30" t="s">
        <v>516</v>
      </c>
      <c r="L30">
        <v>1339</v>
      </c>
      <c r="N30">
        <v>1007</v>
      </c>
      <c r="O30" t="s">
        <v>149</v>
      </c>
      <c r="P30" t="s">
        <v>149</v>
      </c>
      <c r="Q30">
        <v>1</v>
      </c>
      <c r="X30">
        <v>0.99</v>
      </c>
      <c r="Y30">
        <v>910.62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51</v>
      </c>
      <c r="AG30">
        <v>0</v>
      </c>
      <c r="AH30">
        <v>2</v>
      </c>
      <c r="AI30">
        <v>51670923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ROW(Source!A75)</f>
        <v>75</v>
      </c>
      <c r="B31">
        <v>51670093</v>
      </c>
      <c r="C31">
        <v>51670085</v>
      </c>
      <c r="D31">
        <v>202553115</v>
      </c>
      <c r="E31">
        <v>1</v>
      </c>
      <c r="F31">
        <v>1</v>
      </c>
      <c r="G31">
        <v>1</v>
      </c>
      <c r="H31">
        <v>1</v>
      </c>
      <c r="I31" t="s">
        <v>517</v>
      </c>
      <c r="K31" t="s">
        <v>518</v>
      </c>
      <c r="L31">
        <v>1369</v>
      </c>
      <c r="N31">
        <v>1013</v>
      </c>
      <c r="O31" t="s">
        <v>462</v>
      </c>
      <c r="P31" t="s">
        <v>462</v>
      </c>
      <c r="Q31">
        <v>1</v>
      </c>
      <c r="X31">
        <v>5.4</v>
      </c>
      <c r="Y31">
        <v>0</v>
      </c>
      <c r="Z31">
        <v>0</v>
      </c>
      <c r="AA31">
        <v>0</v>
      </c>
      <c r="AB31">
        <v>15.76</v>
      </c>
      <c r="AC31">
        <v>0</v>
      </c>
      <c r="AD31">
        <v>1</v>
      </c>
      <c r="AE31">
        <v>1</v>
      </c>
      <c r="AF31" t="s">
        <v>140</v>
      </c>
      <c r="AG31">
        <v>7.7625</v>
      </c>
      <c r="AH31">
        <v>2</v>
      </c>
      <c r="AI31">
        <v>51670086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ROW(Source!A75)</f>
        <v>75</v>
      </c>
      <c r="B32">
        <v>51670094</v>
      </c>
      <c r="C32">
        <v>51670085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26</v>
      </c>
      <c r="K32" t="s">
        <v>469</v>
      </c>
      <c r="L32">
        <v>608254</v>
      </c>
      <c r="N32">
        <v>1013</v>
      </c>
      <c r="O32" t="s">
        <v>470</v>
      </c>
      <c r="P32" t="s">
        <v>470</v>
      </c>
      <c r="Q32">
        <v>1</v>
      </c>
      <c r="X32">
        <v>0.4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139</v>
      </c>
      <c r="AG32">
        <v>0.625</v>
      </c>
      <c r="AH32">
        <v>2</v>
      </c>
      <c r="AI32">
        <v>51670087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ROW(Source!A75)</f>
        <v>75</v>
      </c>
      <c r="B33">
        <v>51670095</v>
      </c>
      <c r="C33">
        <v>51670085</v>
      </c>
      <c r="D33">
        <v>270771356</v>
      </c>
      <c r="E33">
        <v>1</v>
      </c>
      <c r="F33">
        <v>1</v>
      </c>
      <c r="G33">
        <v>1</v>
      </c>
      <c r="H33">
        <v>2</v>
      </c>
      <c r="I33" t="s">
        <v>471</v>
      </c>
      <c r="J33" t="s">
        <v>472</v>
      </c>
      <c r="K33" t="s">
        <v>473</v>
      </c>
      <c r="L33">
        <v>1368</v>
      </c>
      <c r="N33">
        <v>1011</v>
      </c>
      <c r="O33" t="s">
        <v>466</v>
      </c>
      <c r="P33" t="s">
        <v>466</v>
      </c>
      <c r="Q33">
        <v>1</v>
      </c>
      <c r="X33">
        <v>0.4</v>
      </c>
      <c r="Y33">
        <v>0</v>
      </c>
      <c r="Z33">
        <v>98.9</v>
      </c>
      <c r="AA33">
        <v>24.53</v>
      </c>
      <c r="AB33">
        <v>0</v>
      </c>
      <c r="AC33">
        <v>0</v>
      </c>
      <c r="AD33">
        <v>1</v>
      </c>
      <c r="AE33">
        <v>0</v>
      </c>
      <c r="AF33" t="s">
        <v>139</v>
      </c>
      <c r="AG33">
        <v>0.625</v>
      </c>
      <c r="AH33">
        <v>2</v>
      </c>
      <c r="AI33">
        <v>51670088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ROW(Source!A75)</f>
        <v>75</v>
      </c>
      <c r="B34">
        <v>51670096</v>
      </c>
      <c r="C34">
        <v>51670085</v>
      </c>
      <c r="D34">
        <v>270725087</v>
      </c>
      <c r="E34">
        <v>1</v>
      </c>
      <c r="F34">
        <v>1</v>
      </c>
      <c r="G34">
        <v>1</v>
      </c>
      <c r="H34">
        <v>3</v>
      </c>
      <c r="I34" t="s">
        <v>521</v>
      </c>
      <c r="J34" t="s">
        <v>522</v>
      </c>
      <c r="K34" t="s">
        <v>523</v>
      </c>
      <c r="L34">
        <v>1339</v>
      </c>
      <c r="N34">
        <v>1007</v>
      </c>
      <c r="O34" t="s">
        <v>149</v>
      </c>
      <c r="P34" t="s">
        <v>149</v>
      </c>
      <c r="Q34">
        <v>1</v>
      </c>
      <c r="X34">
        <v>0.0005</v>
      </c>
      <c r="Y34">
        <v>1216.2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0.0005</v>
      </c>
      <c r="AH34">
        <v>2</v>
      </c>
      <c r="AI34">
        <v>51670089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ROW(Source!A75)</f>
        <v>75</v>
      </c>
      <c r="B35">
        <v>51670097</v>
      </c>
      <c r="C35">
        <v>51670085</v>
      </c>
      <c r="D35">
        <v>270696396</v>
      </c>
      <c r="E35">
        <v>1</v>
      </c>
      <c r="F35">
        <v>1</v>
      </c>
      <c r="G35">
        <v>1</v>
      </c>
      <c r="H35">
        <v>3</v>
      </c>
      <c r="I35" t="s">
        <v>524</v>
      </c>
      <c r="J35" t="s">
        <v>525</v>
      </c>
      <c r="K35" t="s">
        <v>526</v>
      </c>
      <c r="L35">
        <v>1339</v>
      </c>
      <c r="N35">
        <v>1007</v>
      </c>
      <c r="O35" t="s">
        <v>149</v>
      </c>
      <c r="P35" t="s">
        <v>149</v>
      </c>
      <c r="Q35">
        <v>1</v>
      </c>
      <c r="X35">
        <v>0.24</v>
      </c>
      <c r="Y35">
        <v>479.2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0.24</v>
      </c>
      <c r="AH35">
        <v>2</v>
      </c>
      <c r="AI35">
        <v>51670090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ROW(Source!A75)</f>
        <v>75</v>
      </c>
      <c r="B36">
        <v>51670098</v>
      </c>
      <c r="C36">
        <v>51670085</v>
      </c>
      <c r="D36">
        <v>270704794</v>
      </c>
      <c r="E36">
        <v>1</v>
      </c>
      <c r="F36">
        <v>1</v>
      </c>
      <c r="G36">
        <v>1</v>
      </c>
      <c r="H36">
        <v>3</v>
      </c>
      <c r="I36" t="s">
        <v>527</v>
      </c>
      <c r="J36" t="s">
        <v>528</v>
      </c>
      <c r="K36" t="s">
        <v>529</v>
      </c>
      <c r="L36">
        <v>1356</v>
      </c>
      <c r="N36">
        <v>1010</v>
      </c>
      <c r="O36" t="s">
        <v>530</v>
      </c>
      <c r="P36" t="s">
        <v>530</v>
      </c>
      <c r="Q36">
        <v>1000</v>
      </c>
      <c r="X36">
        <v>0.394</v>
      </c>
      <c r="Y36">
        <v>2122.9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0.394</v>
      </c>
      <c r="AH36">
        <v>2</v>
      </c>
      <c r="AI36">
        <v>51670091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ROW(Source!A75)</f>
        <v>75</v>
      </c>
      <c r="B37">
        <v>51670099</v>
      </c>
      <c r="C37">
        <v>51670085</v>
      </c>
      <c r="D37">
        <v>270705963</v>
      </c>
      <c r="E37">
        <v>1</v>
      </c>
      <c r="F37">
        <v>1</v>
      </c>
      <c r="G37">
        <v>1</v>
      </c>
      <c r="H37">
        <v>3</v>
      </c>
      <c r="I37" t="s">
        <v>503</v>
      </c>
      <c r="J37" t="s">
        <v>504</v>
      </c>
      <c r="K37" t="s">
        <v>505</v>
      </c>
      <c r="L37">
        <v>1339</v>
      </c>
      <c r="N37">
        <v>1007</v>
      </c>
      <c r="O37" t="s">
        <v>149</v>
      </c>
      <c r="P37" t="s">
        <v>149</v>
      </c>
      <c r="Q37">
        <v>1</v>
      </c>
      <c r="X37">
        <v>0.44</v>
      </c>
      <c r="Y37">
        <v>2.16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0.44</v>
      </c>
      <c r="AH37">
        <v>2</v>
      </c>
      <c r="AI37">
        <v>51670092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ROW(Source!A76)</f>
        <v>76</v>
      </c>
      <c r="B38">
        <v>51670110</v>
      </c>
      <c r="C38">
        <v>51670100</v>
      </c>
      <c r="D38">
        <v>202548993</v>
      </c>
      <c r="E38">
        <v>1</v>
      </c>
      <c r="F38">
        <v>1</v>
      </c>
      <c r="G38">
        <v>1</v>
      </c>
      <c r="H38">
        <v>1</v>
      </c>
      <c r="I38" t="s">
        <v>474</v>
      </c>
      <c r="K38" t="s">
        <v>475</v>
      </c>
      <c r="L38">
        <v>1369</v>
      </c>
      <c r="N38">
        <v>1013</v>
      </c>
      <c r="O38" t="s">
        <v>462</v>
      </c>
      <c r="P38" t="s">
        <v>462</v>
      </c>
      <c r="Q38">
        <v>1</v>
      </c>
      <c r="X38">
        <v>12.86</v>
      </c>
      <c r="Y38">
        <v>0</v>
      </c>
      <c r="Z38">
        <v>0</v>
      </c>
      <c r="AA38">
        <v>0</v>
      </c>
      <c r="AB38">
        <v>16.17</v>
      </c>
      <c r="AC38">
        <v>0</v>
      </c>
      <c r="AD38">
        <v>1</v>
      </c>
      <c r="AE38">
        <v>1</v>
      </c>
      <c r="AF38" t="s">
        <v>140</v>
      </c>
      <c r="AG38">
        <v>18.48625</v>
      </c>
      <c r="AH38">
        <v>2</v>
      </c>
      <c r="AI38">
        <v>51670101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ROW(Source!A76)</f>
        <v>76</v>
      </c>
      <c r="B39">
        <v>51670111</v>
      </c>
      <c r="C39">
        <v>51670100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26</v>
      </c>
      <c r="K39" t="s">
        <v>469</v>
      </c>
      <c r="L39">
        <v>608254</v>
      </c>
      <c r="N39">
        <v>1013</v>
      </c>
      <c r="O39" t="s">
        <v>470</v>
      </c>
      <c r="P39" t="s">
        <v>470</v>
      </c>
      <c r="Q39">
        <v>1</v>
      </c>
      <c r="X39">
        <v>0.15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139</v>
      </c>
      <c r="AG39">
        <v>0.234375</v>
      </c>
      <c r="AH39">
        <v>2</v>
      </c>
      <c r="AI39">
        <v>51670102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ROW(Source!A76)</f>
        <v>76</v>
      </c>
      <c r="B40">
        <v>51670112</v>
      </c>
      <c r="C40">
        <v>51670100</v>
      </c>
      <c r="D40">
        <v>270771467</v>
      </c>
      <c r="E40">
        <v>1</v>
      </c>
      <c r="F40">
        <v>1</v>
      </c>
      <c r="G40">
        <v>1</v>
      </c>
      <c r="H40">
        <v>2</v>
      </c>
      <c r="I40" t="s">
        <v>476</v>
      </c>
      <c r="J40" t="s">
        <v>477</v>
      </c>
      <c r="K40" t="s">
        <v>478</v>
      </c>
      <c r="L40">
        <v>1368</v>
      </c>
      <c r="N40">
        <v>1011</v>
      </c>
      <c r="O40" t="s">
        <v>466</v>
      </c>
      <c r="P40" t="s">
        <v>466</v>
      </c>
      <c r="Q40">
        <v>1</v>
      </c>
      <c r="X40">
        <v>0.15</v>
      </c>
      <c r="Y40">
        <v>0</v>
      </c>
      <c r="Z40">
        <v>125.73</v>
      </c>
      <c r="AA40">
        <v>24.53</v>
      </c>
      <c r="AB40">
        <v>0</v>
      </c>
      <c r="AC40">
        <v>0</v>
      </c>
      <c r="AD40">
        <v>1</v>
      </c>
      <c r="AE40">
        <v>0</v>
      </c>
      <c r="AF40" t="s">
        <v>139</v>
      </c>
      <c r="AG40">
        <v>0.234375</v>
      </c>
      <c r="AH40">
        <v>2</v>
      </c>
      <c r="AI40">
        <v>51670103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ROW(Source!A76)</f>
        <v>76</v>
      </c>
      <c r="B41">
        <v>51670113</v>
      </c>
      <c r="C41">
        <v>51670100</v>
      </c>
      <c r="D41">
        <v>270774071</v>
      </c>
      <c r="E41">
        <v>1</v>
      </c>
      <c r="F41">
        <v>1</v>
      </c>
      <c r="G41">
        <v>1</v>
      </c>
      <c r="H41">
        <v>2</v>
      </c>
      <c r="I41" t="s">
        <v>479</v>
      </c>
      <c r="J41" t="s">
        <v>480</v>
      </c>
      <c r="K41" t="s">
        <v>481</v>
      </c>
      <c r="L41">
        <v>1368</v>
      </c>
      <c r="N41">
        <v>1011</v>
      </c>
      <c r="O41" t="s">
        <v>466</v>
      </c>
      <c r="P41" t="s">
        <v>466</v>
      </c>
      <c r="Q41">
        <v>1</v>
      </c>
      <c r="X41">
        <v>0.22</v>
      </c>
      <c r="Y41">
        <v>0</v>
      </c>
      <c r="Z41">
        <v>119.95</v>
      </c>
      <c r="AA41">
        <v>20.99</v>
      </c>
      <c r="AB41">
        <v>0</v>
      </c>
      <c r="AC41">
        <v>0</v>
      </c>
      <c r="AD41">
        <v>1</v>
      </c>
      <c r="AE41">
        <v>0</v>
      </c>
      <c r="AF41" t="s">
        <v>139</v>
      </c>
      <c r="AG41">
        <v>0.34375</v>
      </c>
      <c r="AH41">
        <v>2</v>
      </c>
      <c r="AI41">
        <v>51670104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ROW(Source!A76)</f>
        <v>76</v>
      </c>
      <c r="B42">
        <v>51670114</v>
      </c>
      <c r="C42">
        <v>51670100</v>
      </c>
      <c r="D42">
        <v>270723256</v>
      </c>
      <c r="E42">
        <v>1</v>
      </c>
      <c r="F42">
        <v>1</v>
      </c>
      <c r="G42">
        <v>1</v>
      </c>
      <c r="H42">
        <v>3</v>
      </c>
      <c r="I42" t="s">
        <v>482</v>
      </c>
      <c r="J42" t="s">
        <v>483</v>
      </c>
      <c r="K42" t="s">
        <v>484</v>
      </c>
      <c r="L42">
        <v>1348</v>
      </c>
      <c r="N42">
        <v>1009</v>
      </c>
      <c r="O42" t="s">
        <v>37</v>
      </c>
      <c r="P42" t="s">
        <v>37</v>
      </c>
      <c r="Q42">
        <v>1000</v>
      </c>
      <c r="X42">
        <v>0.00438</v>
      </c>
      <c r="Y42">
        <v>2964.62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0.00438</v>
      </c>
      <c r="AH42">
        <v>2</v>
      </c>
      <c r="AI42">
        <v>51670105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ROW(Source!A76)</f>
        <v>76</v>
      </c>
      <c r="B43">
        <v>51670115</v>
      </c>
      <c r="C43">
        <v>51670100</v>
      </c>
      <c r="D43">
        <v>270718009</v>
      </c>
      <c r="E43">
        <v>1</v>
      </c>
      <c r="F43">
        <v>1</v>
      </c>
      <c r="G43">
        <v>1</v>
      </c>
      <c r="H43">
        <v>3</v>
      </c>
      <c r="I43" t="s">
        <v>485</v>
      </c>
      <c r="J43" t="s">
        <v>486</v>
      </c>
      <c r="K43" t="s">
        <v>487</v>
      </c>
      <c r="L43">
        <v>36015243</v>
      </c>
      <c r="N43">
        <v>1005</v>
      </c>
      <c r="O43" t="s">
        <v>182</v>
      </c>
      <c r="P43" t="s">
        <v>184</v>
      </c>
      <c r="Q43">
        <v>1</v>
      </c>
      <c r="X43">
        <v>3.38</v>
      </c>
      <c r="Y43">
        <v>4.6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3.38</v>
      </c>
      <c r="AH43">
        <v>2</v>
      </c>
      <c r="AI43">
        <v>51670106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ROW(Source!A76)</f>
        <v>76</v>
      </c>
      <c r="B44">
        <v>51670116</v>
      </c>
      <c r="C44">
        <v>51670100</v>
      </c>
      <c r="D44">
        <v>270723982</v>
      </c>
      <c r="E44">
        <v>1</v>
      </c>
      <c r="F44">
        <v>1</v>
      </c>
      <c r="G44">
        <v>1</v>
      </c>
      <c r="H44">
        <v>3</v>
      </c>
      <c r="I44" t="s">
        <v>488</v>
      </c>
      <c r="J44" t="s">
        <v>489</v>
      </c>
      <c r="K44" t="s">
        <v>490</v>
      </c>
      <c r="L44">
        <v>1348</v>
      </c>
      <c r="N44">
        <v>1009</v>
      </c>
      <c r="O44" t="s">
        <v>37</v>
      </c>
      <c r="P44" t="s">
        <v>37</v>
      </c>
      <c r="Q44">
        <v>1000</v>
      </c>
      <c r="X44">
        <v>0.0072</v>
      </c>
      <c r="Y44">
        <v>10672.41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0.0072</v>
      </c>
      <c r="AH44">
        <v>2</v>
      </c>
      <c r="AI44">
        <v>51670107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ROW(Source!A76)</f>
        <v>76</v>
      </c>
      <c r="B45">
        <v>51670117</v>
      </c>
      <c r="C45">
        <v>51670100</v>
      </c>
      <c r="D45">
        <v>270733083</v>
      </c>
      <c r="E45">
        <v>1</v>
      </c>
      <c r="F45">
        <v>1</v>
      </c>
      <c r="G45">
        <v>1</v>
      </c>
      <c r="H45">
        <v>3</v>
      </c>
      <c r="I45" t="s">
        <v>491</v>
      </c>
      <c r="J45" t="s">
        <v>492</v>
      </c>
      <c r="K45" t="s">
        <v>493</v>
      </c>
      <c r="L45">
        <v>1348</v>
      </c>
      <c r="N45">
        <v>1009</v>
      </c>
      <c r="O45" t="s">
        <v>37</v>
      </c>
      <c r="P45" t="s">
        <v>37</v>
      </c>
      <c r="Q45">
        <v>1000</v>
      </c>
      <c r="X45">
        <v>0.00196</v>
      </c>
      <c r="Y45">
        <v>9903.12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0.00196</v>
      </c>
      <c r="AH45">
        <v>2</v>
      </c>
      <c r="AI45">
        <v>51670108</v>
      </c>
      <c r="AJ45">
        <v>46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ROW(Source!A78)</f>
        <v>78</v>
      </c>
      <c r="B46">
        <v>51670127</v>
      </c>
      <c r="C46">
        <v>51670119</v>
      </c>
      <c r="D46">
        <v>202556993</v>
      </c>
      <c r="E46">
        <v>1</v>
      </c>
      <c r="F46">
        <v>1</v>
      </c>
      <c r="G46">
        <v>1</v>
      </c>
      <c r="H46">
        <v>1</v>
      </c>
      <c r="I46" t="s">
        <v>467</v>
      </c>
      <c r="K46" t="s">
        <v>468</v>
      </c>
      <c r="L46">
        <v>1369</v>
      </c>
      <c r="N46">
        <v>1013</v>
      </c>
      <c r="O46" t="s">
        <v>462</v>
      </c>
      <c r="P46" t="s">
        <v>462</v>
      </c>
      <c r="Q46">
        <v>1</v>
      </c>
      <c r="X46">
        <v>31.83</v>
      </c>
      <c r="Y46">
        <v>0</v>
      </c>
      <c r="Z46">
        <v>0</v>
      </c>
      <c r="AA46">
        <v>0</v>
      </c>
      <c r="AB46">
        <v>15.06</v>
      </c>
      <c r="AC46">
        <v>0</v>
      </c>
      <c r="AD46">
        <v>1</v>
      </c>
      <c r="AE46">
        <v>1</v>
      </c>
      <c r="AF46" t="s">
        <v>19</v>
      </c>
      <c r="AG46">
        <v>39.787499999999994</v>
      </c>
      <c r="AH46">
        <v>2</v>
      </c>
      <c r="AI46">
        <v>51670120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ROW(Source!A78)</f>
        <v>78</v>
      </c>
      <c r="B47">
        <v>51670128</v>
      </c>
      <c r="C47">
        <v>51670119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26</v>
      </c>
      <c r="K47" t="s">
        <v>469</v>
      </c>
      <c r="L47">
        <v>608254</v>
      </c>
      <c r="N47">
        <v>1013</v>
      </c>
      <c r="O47" t="s">
        <v>470</v>
      </c>
      <c r="P47" t="s">
        <v>470</v>
      </c>
      <c r="Q47">
        <v>1</v>
      </c>
      <c r="X47">
        <v>0.44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 t="s">
        <v>19</v>
      </c>
      <c r="AG47">
        <v>0.55</v>
      </c>
      <c r="AH47">
        <v>2</v>
      </c>
      <c r="AI47">
        <v>51670121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ROW(Source!A78)</f>
        <v>78</v>
      </c>
      <c r="B48">
        <v>51670129</v>
      </c>
      <c r="C48">
        <v>51670119</v>
      </c>
      <c r="D48">
        <v>270771644</v>
      </c>
      <c r="E48">
        <v>1</v>
      </c>
      <c r="F48">
        <v>1</v>
      </c>
      <c r="G48">
        <v>1</v>
      </c>
      <c r="H48">
        <v>2</v>
      </c>
      <c r="I48" t="s">
        <v>497</v>
      </c>
      <c r="J48" t="s">
        <v>498</v>
      </c>
      <c r="K48" t="s">
        <v>499</v>
      </c>
      <c r="L48">
        <v>1368</v>
      </c>
      <c r="N48">
        <v>1011</v>
      </c>
      <c r="O48" t="s">
        <v>466</v>
      </c>
      <c r="P48" t="s">
        <v>466</v>
      </c>
      <c r="Q48">
        <v>1</v>
      </c>
      <c r="X48">
        <v>0.44</v>
      </c>
      <c r="Y48">
        <v>0</v>
      </c>
      <c r="Z48">
        <v>41.7</v>
      </c>
      <c r="AA48">
        <v>24.53</v>
      </c>
      <c r="AB48">
        <v>0</v>
      </c>
      <c r="AC48">
        <v>0</v>
      </c>
      <c r="AD48">
        <v>1</v>
      </c>
      <c r="AE48">
        <v>0</v>
      </c>
      <c r="AF48" t="s">
        <v>19</v>
      </c>
      <c r="AG48">
        <v>0.55</v>
      </c>
      <c r="AH48">
        <v>2</v>
      </c>
      <c r="AI48">
        <v>51670122</v>
      </c>
      <c r="AJ48">
        <v>49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ROW(Source!A78)</f>
        <v>78</v>
      </c>
      <c r="B49">
        <v>51670130</v>
      </c>
      <c r="C49">
        <v>51670119</v>
      </c>
      <c r="D49">
        <v>270774071</v>
      </c>
      <c r="E49">
        <v>1</v>
      </c>
      <c r="F49">
        <v>1</v>
      </c>
      <c r="G49">
        <v>1</v>
      </c>
      <c r="H49">
        <v>2</v>
      </c>
      <c r="I49" t="s">
        <v>479</v>
      </c>
      <c r="J49" t="s">
        <v>480</v>
      </c>
      <c r="K49" t="s">
        <v>481</v>
      </c>
      <c r="L49">
        <v>1368</v>
      </c>
      <c r="N49">
        <v>1011</v>
      </c>
      <c r="O49" t="s">
        <v>466</v>
      </c>
      <c r="P49" t="s">
        <v>466</v>
      </c>
      <c r="Q49">
        <v>1</v>
      </c>
      <c r="X49">
        <v>0.31</v>
      </c>
      <c r="Y49">
        <v>0</v>
      </c>
      <c r="Z49">
        <v>119.95</v>
      </c>
      <c r="AA49">
        <v>20.99</v>
      </c>
      <c r="AB49">
        <v>0</v>
      </c>
      <c r="AC49">
        <v>0</v>
      </c>
      <c r="AD49">
        <v>1</v>
      </c>
      <c r="AE49">
        <v>0</v>
      </c>
      <c r="AF49" t="s">
        <v>19</v>
      </c>
      <c r="AG49">
        <v>0.3875</v>
      </c>
      <c r="AH49">
        <v>2</v>
      </c>
      <c r="AI49">
        <v>51670123</v>
      </c>
      <c r="AJ49">
        <v>50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ROW(Source!A78)</f>
        <v>78</v>
      </c>
      <c r="B50">
        <v>51670131</v>
      </c>
      <c r="C50">
        <v>51670119</v>
      </c>
      <c r="D50">
        <v>270723982</v>
      </c>
      <c r="E50">
        <v>1</v>
      </c>
      <c r="F50">
        <v>1</v>
      </c>
      <c r="G50">
        <v>1</v>
      </c>
      <c r="H50">
        <v>3</v>
      </c>
      <c r="I50" t="s">
        <v>488</v>
      </c>
      <c r="J50" t="s">
        <v>489</v>
      </c>
      <c r="K50" t="s">
        <v>490</v>
      </c>
      <c r="L50">
        <v>1348</v>
      </c>
      <c r="N50">
        <v>1009</v>
      </c>
      <c r="O50" t="s">
        <v>37</v>
      </c>
      <c r="P50" t="s">
        <v>37</v>
      </c>
      <c r="Q50">
        <v>1000</v>
      </c>
      <c r="X50">
        <v>0.009</v>
      </c>
      <c r="Y50">
        <v>10672.41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0.009</v>
      </c>
      <c r="AH50">
        <v>2</v>
      </c>
      <c r="AI50">
        <v>51670124</v>
      </c>
      <c r="AJ50">
        <v>51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ROW(Source!A78)</f>
        <v>78</v>
      </c>
      <c r="B51">
        <v>51670132</v>
      </c>
      <c r="C51">
        <v>51670119</v>
      </c>
      <c r="D51">
        <v>270725173</v>
      </c>
      <c r="E51">
        <v>1</v>
      </c>
      <c r="F51">
        <v>1</v>
      </c>
      <c r="G51">
        <v>1</v>
      </c>
      <c r="H51">
        <v>3</v>
      </c>
      <c r="I51" t="s">
        <v>164</v>
      </c>
      <c r="J51" t="s">
        <v>166</v>
      </c>
      <c r="K51" t="s">
        <v>165</v>
      </c>
      <c r="L51">
        <v>1339</v>
      </c>
      <c r="N51">
        <v>1007</v>
      </c>
      <c r="O51" t="s">
        <v>149</v>
      </c>
      <c r="P51" t="s">
        <v>149</v>
      </c>
      <c r="Q51">
        <v>1</v>
      </c>
      <c r="X51">
        <v>2.64</v>
      </c>
      <c r="Y51">
        <v>633.98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2.64</v>
      </c>
      <c r="AH51">
        <v>2</v>
      </c>
      <c r="AI51">
        <v>51670125</v>
      </c>
      <c r="AJ51">
        <v>52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ROW(Source!A81)</f>
        <v>81</v>
      </c>
      <c r="B52">
        <v>51670145</v>
      </c>
      <c r="C52">
        <v>51670135</v>
      </c>
      <c r="D52">
        <v>202549185</v>
      </c>
      <c r="E52">
        <v>1</v>
      </c>
      <c r="F52">
        <v>1</v>
      </c>
      <c r="G52">
        <v>1</v>
      </c>
      <c r="H52">
        <v>1</v>
      </c>
      <c r="I52" t="s">
        <v>531</v>
      </c>
      <c r="K52" t="s">
        <v>532</v>
      </c>
      <c r="L52">
        <v>1369</v>
      </c>
      <c r="N52">
        <v>1013</v>
      </c>
      <c r="O52" t="s">
        <v>462</v>
      </c>
      <c r="P52" t="s">
        <v>462</v>
      </c>
      <c r="Q52">
        <v>1</v>
      </c>
      <c r="X52">
        <v>7.84</v>
      </c>
      <c r="Y52">
        <v>0</v>
      </c>
      <c r="Z52">
        <v>0</v>
      </c>
      <c r="AA52">
        <v>0</v>
      </c>
      <c r="AB52">
        <v>16.57</v>
      </c>
      <c r="AC52">
        <v>0</v>
      </c>
      <c r="AD52">
        <v>1</v>
      </c>
      <c r="AE52">
        <v>1</v>
      </c>
      <c r="AF52" t="s">
        <v>140</v>
      </c>
      <c r="AG52">
        <v>11.27</v>
      </c>
      <c r="AH52">
        <v>2</v>
      </c>
      <c r="AI52">
        <v>51670136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ROW(Source!A81)</f>
        <v>81</v>
      </c>
      <c r="B53">
        <v>51670146</v>
      </c>
      <c r="C53">
        <v>51670135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26</v>
      </c>
      <c r="K53" t="s">
        <v>469</v>
      </c>
      <c r="L53">
        <v>608254</v>
      </c>
      <c r="N53">
        <v>1013</v>
      </c>
      <c r="O53" t="s">
        <v>470</v>
      </c>
      <c r="P53" t="s">
        <v>470</v>
      </c>
      <c r="Q53">
        <v>1</v>
      </c>
      <c r="X53">
        <v>0.13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139</v>
      </c>
      <c r="AG53">
        <v>0.203125</v>
      </c>
      <c r="AH53">
        <v>2</v>
      </c>
      <c r="AI53">
        <v>51670137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ROW(Source!A81)</f>
        <v>81</v>
      </c>
      <c r="B54">
        <v>51670147</v>
      </c>
      <c r="C54">
        <v>51670135</v>
      </c>
      <c r="D54">
        <v>270771356</v>
      </c>
      <c r="E54">
        <v>1</v>
      </c>
      <c r="F54">
        <v>1</v>
      </c>
      <c r="G54">
        <v>1</v>
      </c>
      <c r="H54">
        <v>2</v>
      </c>
      <c r="I54" t="s">
        <v>471</v>
      </c>
      <c r="J54" t="s">
        <v>472</v>
      </c>
      <c r="K54" t="s">
        <v>473</v>
      </c>
      <c r="L54">
        <v>1368</v>
      </c>
      <c r="N54">
        <v>1011</v>
      </c>
      <c r="O54" t="s">
        <v>466</v>
      </c>
      <c r="P54" t="s">
        <v>466</v>
      </c>
      <c r="Q54">
        <v>1</v>
      </c>
      <c r="X54">
        <v>0.08</v>
      </c>
      <c r="Y54">
        <v>0</v>
      </c>
      <c r="Z54">
        <v>98.9</v>
      </c>
      <c r="AA54">
        <v>24.53</v>
      </c>
      <c r="AB54">
        <v>0</v>
      </c>
      <c r="AC54">
        <v>0</v>
      </c>
      <c r="AD54">
        <v>1</v>
      </c>
      <c r="AE54">
        <v>0</v>
      </c>
      <c r="AF54" t="s">
        <v>139</v>
      </c>
      <c r="AG54">
        <v>0.125</v>
      </c>
      <c r="AH54">
        <v>2</v>
      </c>
      <c r="AI54">
        <v>51670138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ROW(Source!A81)</f>
        <v>81</v>
      </c>
      <c r="B55">
        <v>51670148</v>
      </c>
      <c r="C55">
        <v>51670135</v>
      </c>
      <c r="D55">
        <v>270771467</v>
      </c>
      <c r="E55">
        <v>1</v>
      </c>
      <c r="F55">
        <v>1</v>
      </c>
      <c r="G55">
        <v>1</v>
      </c>
      <c r="H55">
        <v>2</v>
      </c>
      <c r="I55" t="s">
        <v>476</v>
      </c>
      <c r="J55" t="s">
        <v>477</v>
      </c>
      <c r="K55" t="s">
        <v>478</v>
      </c>
      <c r="L55">
        <v>1368</v>
      </c>
      <c r="N55">
        <v>1011</v>
      </c>
      <c r="O55" t="s">
        <v>466</v>
      </c>
      <c r="P55" t="s">
        <v>466</v>
      </c>
      <c r="Q55">
        <v>1</v>
      </c>
      <c r="X55">
        <v>0.05</v>
      </c>
      <c r="Y55">
        <v>0</v>
      </c>
      <c r="Z55">
        <v>125.73</v>
      </c>
      <c r="AA55">
        <v>24.53</v>
      </c>
      <c r="AB55">
        <v>0</v>
      </c>
      <c r="AC55">
        <v>0</v>
      </c>
      <c r="AD55">
        <v>1</v>
      </c>
      <c r="AE55">
        <v>0</v>
      </c>
      <c r="AF55" t="s">
        <v>139</v>
      </c>
      <c r="AG55">
        <v>0.078125</v>
      </c>
      <c r="AH55">
        <v>2</v>
      </c>
      <c r="AI55">
        <v>51670139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ROW(Source!A81)</f>
        <v>81</v>
      </c>
      <c r="B56">
        <v>51670149</v>
      </c>
      <c r="C56">
        <v>51670135</v>
      </c>
      <c r="D56">
        <v>270772347</v>
      </c>
      <c r="E56">
        <v>1</v>
      </c>
      <c r="F56">
        <v>1</v>
      </c>
      <c r="G56">
        <v>1</v>
      </c>
      <c r="H56">
        <v>2</v>
      </c>
      <c r="I56" t="s">
        <v>508</v>
      </c>
      <c r="J56" t="s">
        <v>509</v>
      </c>
      <c r="K56" t="s">
        <v>510</v>
      </c>
      <c r="L56">
        <v>1368</v>
      </c>
      <c r="N56">
        <v>1011</v>
      </c>
      <c r="O56" t="s">
        <v>466</v>
      </c>
      <c r="P56" t="s">
        <v>466</v>
      </c>
      <c r="Q56">
        <v>1</v>
      </c>
      <c r="X56">
        <v>0.41</v>
      </c>
      <c r="Y56">
        <v>0</v>
      </c>
      <c r="Z56">
        <v>30.59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139</v>
      </c>
      <c r="AG56">
        <v>0.640625</v>
      </c>
      <c r="AH56">
        <v>2</v>
      </c>
      <c r="AI56">
        <v>51670140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ROW(Source!A81)</f>
        <v>81</v>
      </c>
      <c r="B57">
        <v>51670150</v>
      </c>
      <c r="C57">
        <v>51670135</v>
      </c>
      <c r="D57">
        <v>270774071</v>
      </c>
      <c r="E57">
        <v>1</v>
      </c>
      <c r="F57">
        <v>1</v>
      </c>
      <c r="G57">
        <v>1</v>
      </c>
      <c r="H57">
        <v>2</v>
      </c>
      <c r="I57" t="s">
        <v>479</v>
      </c>
      <c r="J57" t="s">
        <v>480</v>
      </c>
      <c r="K57" t="s">
        <v>481</v>
      </c>
      <c r="L57">
        <v>1368</v>
      </c>
      <c r="N57">
        <v>1011</v>
      </c>
      <c r="O57" t="s">
        <v>466</v>
      </c>
      <c r="P57" t="s">
        <v>466</v>
      </c>
      <c r="Q57">
        <v>1</v>
      </c>
      <c r="X57">
        <v>0.08</v>
      </c>
      <c r="Y57">
        <v>0</v>
      </c>
      <c r="Z57">
        <v>119.95</v>
      </c>
      <c r="AA57">
        <v>20.99</v>
      </c>
      <c r="AB57">
        <v>0</v>
      </c>
      <c r="AC57">
        <v>0</v>
      </c>
      <c r="AD57">
        <v>1</v>
      </c>
      <c r="AE57">
        <v>0</v>
      </c>
      <c r="AF57" t="s">
        <v>139</v>
      </c>
      <c r="AG57">
        <v>0.125</v>
      </c>
      <c r="AH57">
        <v>2</v>
      </c>
      <c r="AI57">
        <v>51670141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ROW(Source!A81)</f>
        <v>81</v>
      </c>
      <c r="B58">
        <v>51670151</v>
      </c>
      <c r="C58">
        <v>51670135</v>
      </c>
      <c r="D58">
        <v>270717078</v>
      </c>
      <c r="E58">
        <v>1</v>
      </c>
      <c r="F58">
        <v>1</v>
      </c>
      <c r="G58">
        <v>1</v>
      </c>
      <c r="H58">
        <v>3</v>
      </c>
      <c r="I58" t="s">
        <v>533</v>
      </c>
      <c r="J58" t="s">
        <v>534</v>
      </c>
      <c r="K58" t="s">
        <v>535</v>
      </c>
      <c r="L58">
        <v>1348</v>
      </c>
      <c r="N58">
        <v>1009</v>
      </c>
      <c r="O58" t="s">
        <v>37</v>
      </c>
      <c r="P58" t="s">
        <v>37</v>
      </c>
      <c r="Q58">
        <v>1000</v>
      </c>
      <c r="X58">
        <v>0.05</v>
      </c>
      <c r="Y58">
        <v>3902.13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0.05</v>
      </c>
      <c r="AH58">
        <v>2</v>
      </c>
      <c r="AI58">
        <v>51670142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ROW(Source!A81)</f>
        <v>81</v>
      </c>
      <c r="B59">
        <v>51670152</v>
      </c>
      <c r="C59">
        <v>51670135</v>
      </c>
      <c r="D59">
        <v>270717992</v>
      </c>
      <c r="E59">
        <v>1</v>
      </c>
      <c r="F59">
        <v>1</v>
      </c>
      <c r="G59">
        <v>1</v>
      </c>
      <c r="H59">
        <v>3</v>
      </c>
      <c r="I59" t="s">
        <v>180</v>
      </c>
      <c r="J59" t="s">
        <v>183</v>
      </c>
      <c r="K59" t="s">
        <v>181</v>
      </c>
      <c r="L59">
        <v>36015243</v>
      </c>
      <c r="N59">
        <v>1005</v>
      </c>
      <c r="O59" t="s">
        <v>182</v>
      </c>
      <c r="P59" t="s">
        <v>184</v>
      </c>
      <c r="Q59">
        <v>1</v>
      </c>
      <c r="X59">
        <v>110</v>
      </c>
      <c r="Y59">
        <v>5.68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110</v>
      </c>
      <c r="AH59">
        <v>2</v>
      </c>
      <c r="AI59">
        <v>51670143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ROW(Source!A84)</f>
        <v>84</v>
      </c>
      <c r="B60">
        <v>51670247</v>
      </c>
      <c r="C60">
        <v>51670239</v>
      </c>
      <c r="D60">
        <v>202548993</v>
      </c>
      <c r="E60">
        <v>1</v>
      </c>
      <c r="F60">
        <v>1</v>
      </c>
      <c r="G60">
        <v>1</v>
      </c>
      <c r="H60">
        <v>1</v>
      </c>
      <c r="I60" t="s">
        <v>474</v>
      </c>
      <c r="K60" t="s">
        <v>475</v>
      </c>
      <c r="L60">
        <v>1369</v>
      </c>
      <c r="N60">
        <v>1013</v>
      </c>
      <c r="O60" t="s">
        <v>462</v>
      </c>
      <c r="P60" t="s">
        <v>462</v>
      </c>
      <c r="Q60">
        <v>1</v>
      </c>
      <c r="X60">
        <v>112.75</v>
      </c>
      <c r="Y60">
        <v>0</v>
      </c>
      <c r="Z60">
        <v>0</v>
      </c>
      <c r="AA60">
        <v>0</v>
      </c>
      <c r="AB60">
        <v>16.17</v>
      </c>
      <c r="AC60">
        <v>0</v>
      </c>
      <c r="AD60">
        <v>1</v>
      </c>
      <c r="AE60">
        <v>1</v>
      </c>
      <c r="AF60" t="s">
        <v>140</v>
      </c>
      <c r="AG60">
        <v>162.078125</v>
      </c>
      <c r="AH60">
        <v>2</v>
      </c>
      <c r="AI60">
        <v>51670240</v>
      </c>
      <c r="AJ60">
        <v>63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ROW(Source!A84)</f>
        <v>84</v>
      </c>
      <c r="B61">
        <v>51670248</v>
      </c>
      <c r="C61">
        <v>51670239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26</v>
      </c>
      <c r="K61" t="s">
        <v>469</v>
      </c>
      <c r="L61">
        <v>608254</v>
      </c>
      <c r="N61">
        <v>1013</v>
      </c>
      <c r="O61" t="s">
        <v>470</v>
      </c>
      <c r="P61" t="s">
        <v>470</v>
      </c>
      <c r="Q61">
        <v>1</v>
      </c>
      <c r="X61">
        <v>0.2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139</v>
      </c>
      <c r="AG61">
        <v>0.3125</v>
      </c>
      <c r="AH61">
        <v>2</v>
      </c>
      <c r="AI61">
        <v>51670241</v>
      </c>
      <c r="AJ61">
        <v>64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ROW(Source!A84)</f>
        <v>84</v>
      </c>
      <c r="B62">
        <v>51670249</v>
      </c>
      <c r="C62">
        <v>51670239</v>
      </c>
      <c r="D62">
        <v>270771356</v>
      </c>
      <c r="E62">
        <v>1</v>
      </c>
      <c r="F62">
        <v>1</v>
      </c>
      <c r="G62">
        <v>1</v>
      </c>
      <c r="H62">
        <v>2</v>
      </c>
      <c r="I62" t="s">
        <v>471</v>
      </c>
      <c r="J62" t="s">
        <v>472</v>
      </c>
      <c r="K62" t="s">
        <v>473</v>
      </c>
      <c r="L62">
        <v>1368</v>
      </c>
      <c r="N62">
        <v>1011</v>
      </c>
      <c r="O62" t="s">
        <v>466</v>
      </c>
      <c r="P62" t="s">
        <v>466</v>
      </c>
      <c r="Q62">
        <v>1</v>
      </c>
      <c r="X62">
        <v>0.2</v>
      </c>
      <c r="Y62">
        <v>0</v>
      </c>
      <c r="Z62">
        <v>98.9</v>
      </c>
      <c r="AA62">
        <v>24.53</v>
      </c>
      <c r="AB62">
        <v>0</v>
      </c>
      <c r="AC62">
        <v>0</v>
      </c>
      <c r="AD62">
        <v>1</v>
      </c>
      <c r="AE62">
        <v>0</v>
      </c>
      <c r="AF62" t="s">
        <v>139</v>
      </c>
      <c r="AG62">
        <v>0.3125</v>
      </c>
      <c r="AH62">
        <v>2</v>
      </c>
      <c r="AI62">
        <v>51670242</v>
      </c>
      <c r="AJ62">
        <v>65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ROW(Source!A84)</f>
        <v>84</v>
      </c>
      <c r="B63">
        <v>51670250</v>
      </c>
      <c r="C63">
        <v>51670239</v>
      </c>
      <c r="D63">
        <v>270774071</v>
      </c>
      <c r="E63">
        <v>1</v>
      </c>
      <c r="F63">
        <v>1</v>
      </c>
      <c r="G63">
        <v>1</v>
      </c>
      <c r="H63">
        <v>2</v>
      </c>
      <c r="I63" t="s">
        <v>479</v>
      </c>
      <c r="J63" t="s">
        <v>480</v>
      </c>
      <c r="K63" t="s">
        <v>481</v>
      </c>
      <c r="L63">
        <v>1368</v>
      </c>
      <c r="N63">
        <v>1011</v>
      </c>
      <c r="O63" t="s">
        <v>466</v>
      </c>
      <c r="P63" t="s">
        <v>466</v>
      </c>
      <c r="Q63">
        <v>1</v>
      </c>
      <c r="X63">
        <v>0.07</v>
      </c>
      <c r="Y63">
        <v>0</v>
      </c>
      <c r="Z63">
        <v>119.95</v>
      </c>
      <c r="AA63">
        <v>20.99</v>
      </c>
      <c r="AB63">
        <v>0</v>
      </c>
      <c r="AC63">
        <v>0</v>
      </c>
      <c r="AD63">
        <v>1</v>
      </c>
      <c r="AE63">
        <v>0</v>
      </c>
      <c r="AF63" t="s">
        <v>139</v>
      </c>
      <c r="AG63">
        <v>0.10937500000000001</v>
      </c>
      <c r="AH63">
        <v>2</v>
      </c>
      <c r="AI63">
        <v>51670243</v>
      </c>
      <c r="AJ63">
        <v>66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ROW(Source!A84)</f>
        <v>84</v>
      </c>
      <c r="B64">
        <v>51670251</v>
      </c>
      <c r="C64">
        <v>51670239</v>
      </c>
      <c r="D64">
        <v>270724045</v>
      </c>
      <c r="E64">
        <v>1</v>
      </c>
      <c r="F64">
        <v>1</v>
      </c>
      <c r="G64">
        <v>1</v>
      </c>
      <c r="H64">
        <v>3</v>
      </c>
      <c r="I64" t="s">
        <v>536</v>
      </c>
      <c r="J64" t="s">
        <v>537</v>
      </c>
      <c r="K64" t="s">
        <v>538</v>
      </c>
      <c r="L64">
        <v>1348</v>
      </c>
      <c r="N64">
        <v>1009</v>
      </c>
      <c r="O64" t="s">
        <v>37</v>
      </c>
      <c r="P64" t="s">
        <v>37</v>
      </c>
      <c r="Q64">
        <v>1000</v>
      </c>
      <c r="X64">
        <v>0.004</v>
      </c>
      <c r="Y64">
        <v>9465.51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0.004</v>
      </c>
      <c r="AH64">
        <v>2</v>
      </c>
      <c r="AI64">
        <v>51670244</v>
      </c>
      <c r="AJ64">
        <v>67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ROW(Source!A84)</f>
        <v>84</v>
      </c>
      <c r="B65">
        <v>51670252</v>
      </c>
      <c r="C65">
        <v>51670239</v>
      </c>
      <c r="D65">
        <v>270723263</v>
      </c>
      <c r="E65">
        <v>1</v>
      </c>
      <c r="F65">
        <v>1</v>
      </c>
      <c r="G65">
        <v>1</v>
      </c>
      <c r="H65">
        <v>3</v>
      </c>
      <c r="I65" t="s">
        <v>539</v>
      </c>
      <c r="J65" t="s">
        <v>540</v>
      </c>
      <c r="K65" t="s">
        <v>541</v>
      </c>
      <c r="L65">
        <v>1348</v>
      </c>
      <c r="N65">
        <v>1009</v>
      </c>
      <c r="O65" t="s">
        <v>37</v>
      </c>
      <c r="P65" t="s">
        <v>37</v>
      </c>
      <c r="Q65">
        <v>1000</v>
      </c>
      <c r="X65">
        <v>0.012</v>
      </c>
      <c r="Y65">
        <v>12894.74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0.012</v>
      </c>
      <c r="AH65">
        <v>2</v>
      </c>
      <c r="AI65">
        <v>51670245</v>
      </c>
      <c r="AJ65">
        <v>68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ROW(Source!A84)</f>
        <v>84</v>
      </c>
      <c r="B66">
        <v>51670253</v>
      </c>
      <c r="C66">
        <v>51670239</v>
      </c>
      <c r="D66">
        <v>270722834</v>
      </c>
      <c r="E66">
        <v>1</v>
      </c>
      <c r="F66">
        <v>1</v>
      </c>
      <c r="G66">
        <v>1</v>
      </c>
      <c r="H66">
        <v>3</v>
      </c>
      <c r="I66" t="s">
        <v>343</v>
      </c>
      <c r="J66" t="s">
        <v>345</v>
      </c>
      <c r="K66" t="s">
        <v>344</v>
      </c>
      <c r="L66">
        <v>1348</v>
      </c>
      <c r="N66">
        <v>1009</v>
      </c>
      <c r="O66" t="s">
        <v>37</v>
      </c>
      <c r="P66" t="s">
        <v>37</v>
      </c>
      <c r="Q66">
        <v>1000</v>
      </c>
      <c r="X66">
        <v>0.782</v>
      </c>
      <c r="Y66">
        <v>9696.76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0.782</v>
      </c>
      <c r="AH66">
        <v>2</v>
      </c>
      <c r="AI66">
        <v>51670246</v>
      </c>
      <c r="AJ66">
        <v>69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ROW(Source!A85)</f>
        <v>85</v>
      </c>
      <c r="B67">
        <v>51688914</v>
      </c>
      <c r="C67">
        <v>51688909</v>
      </c>
      <c r="D67">
        <v>202548993</v>
      </c>
      <c r="E67">
        <v>1</v>
      </c>
      <c r="F67">
        <v>1</v>
      </c>
      <c r="G67">
        <v>1</v>
      </c>
      <c r="H67">
        <v>1</v>
      </c>
      <c r="I67" t="s">
        <v>474</v>
      </c>
      <c r="K67" t="s">
        <v>475</v>
      </c>
      <c r="L67">
        <v>1369</v>
      </c>
      <c r="N67">
        <v>1013</v>
      </c>
      <c r="O67" t="s">
        <v>462</v>
      </c>
      <c r="P67" t="s">
        <v>462</v>
      </c>
      <c r="Q67">
        <v>1</v>
      </c>
      <c r="X67">
        <v>1.93</v>
      </c>
      <c r="Y67">
        <v>0</v>
      </c>
      <c r="Z67">
        <v>0</v>
      </c>
      <c r="AA67">
        <v>0</v>
      </c>
      <c r="AB67">
        <v>16.17</v>
      </c>
      <c r="AC67">
        <v>0</v>
      </c>
      <c r="AD67">
        <v>1</v>
      </c>
      <c r="AE67">
        <v>1</v>
      </c>
      <c r="AF67" t="s">
        <v>140</v>
      </c>
      <c r="AG67">
        <v>2.7743749999999996</v>
      </c>
      <c r="AH67">
        <v>2</v>
      </c>
      <c r="AI67">
        <v>51688910</v>
      </c>
      <c r="AJ67">
        <v>70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ROW(Source!A85)</f>
        <v>85</v>
      </c>
      <c r="B68">
        <v>51688915</v>
      </c>
      <c r="C68">
        <v>51688909</v>
      </c>
      <c r="D68">
        <v>270774071</v>
      </c>
      <c r="E68">
        <v>1</v>
      </c>
      <c r="F68">
        <v>1</v>
      </c>
      <c r="G68">
        <v>1</v>
      </c>
      <c r="H68">
        <v>2</v>
      </c>
      <c r="I68" t="s">
        <v>479</v>
      </c>
      <c r="J68" t="s">
        <v>480</v>
      </c>
      <c r="K68" t="s">
        <v>481</v>
      </c>
      <c r="L68">
        <v>1368</v>
      </c>
      <c r="N68">
        <v>1011</v>
      </c>
      <c r="O68" t="s">
        <v>466</v>
      </c>
      <c r="P68" t="s">
        <v>466</v>
      </c>
      <c r="Q68">
        <v>1</v>
      </c>
      <c r="X68">
        <v>0.01</v>
      </c>
      <c r="Y68">
        <v>0</v>
      </c>
      <c r="Z68">
        <v>119.95</v>
      </c>
      <c r="AA68">
        <v>20.99</v>
      </c>
      <c r="AB68">
        <v>0</v>
      </c>
      <c r="AC68">
        <v>0</v>
      </c>
      <c r="AD68">
        <v>1</v>
      </c>
      <c r="AE68">
        <v>0</v>
      </c>
      <c r="AF68" t="s">
        <v>139</v>
      </c>
      <c r="AG68">
        <v>0.015625</v>
      </c>
      <c r="AH68">
        <v>2</v>
      </c>
      <c r="AI68">
        <v>51688911</v>
      </c>
      <c r="AJ68">
        <v>71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ROW(Source!A85)</f>
        <v>85</v>
      </c>
      <c r="B69">
        <v>51688916</v>
      </c>
      <c r="C69">
        <v>51688909</v>
      </c>
      <c r="D69">
        <v>270724025</v>
      </c>
      <c r="E69">
        <v>1</v>
      </c>
      <c r="F69">
        <v>1</v>
      </c>
      <c r="G69">
        <v>1</v>
      </c>
      <c r="H69">
        <v>3</v>
      </c>
      <c r="I69" t="s">
        <v>542</v>
      </c>
      <c r="J69" t="s">
        <v>543</v>
      </c>
      <c r="K69" t="s">
        <v>544</v>
      </c>
      <c r="L69">
        <v>1348</v>
      </c>
      <c r="N69">
        <v>1009</v>
      </c>
      <c r="O69" t="s">
        <v>37</v>
      </c>
      <c r="P69" t="s">
        <v>37</v>
      </c>
      <c r="Q69">
        <v>1000</v>
      </c>
      <c r="X69">
        <v>0.0001</v>
      </c>
      <c r="Y69">
        <v>9042.8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0.0001</v>
      </c>
      <c r="AH69">
        <v>2</v>
      </c>
      <c r="AI69">
        <v>51688912</v>
      </c>
      <c r="AJ69">
        <v>72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ROW(Source!A85)</f>
        <v>85</v>
      </c>
      <c r="B70">
        <v>51688917</v>
      </c>
      <c r="C70">
        <v>51688909</v>
      </c>
      <c r="D70">
        <v>270722834</v>
      </c>
      <c r="E70">
        <v>1</v>
      </c>
      <c r="F70">
        <v>1</v>
      </c>
      <c r="G70">
        <v>1</v>
      </c>
      <c r="H70">
        <v>3</v>
      </c>
      <c r="I70" t="s">
        <v>343</v>
      </c>
      <c r="J70" t="s">
        <v>345</v>
      </c>
      <c r="K70" t="s">
        <v>344</v>
      </c>
      <c r="L70">
        <v>1348</v>
      </c>
      <c r="N70">
        <v>1009</v>
      </c>
      <c r="O70" t="s">
        <v>37</v>
      </c>
      <c r="P70" t="s">
        <v>37</v>
      </c>
      <c r="Q70">
        <v>1000</v>
      </c>
      <c r="X70">
        <v>0.038</v>
      </c>
      <c r="Y70">
        <v>9696.76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0.038</v>
      </c>
      <c r="AH70">
        <v>2</v>
      </c>
      <c r="AI70">
        <v>51688913</v>
      </c>
      <c r="AJ70">
        <v>73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ROW(Source!A86)</f>
        <v>86</v>
      </c>
      <c r="B71">
        <v>51689546</v>
      </c>
      <c r="C71">
        <v>51689525</v>
      </c>
      <c r="D71">
        <v>202542883</v>
      </c>
      <c r="E71">
        <v>1</v>
      </c>
      <c r="F71">
        <v>1</v>
      </c>
      <c r="G71">
        <v>1</v>
      </c>
      <c r="H71">
        <v>1</v>
      </c>
      <c r="I71" t="s">
        <v>506</v>
      </c>
      <c r="K71" t="s">
        <v>507</v>
      </c>
      <c r="L71">
        <v>1369</v>
      </c>
      <c r="N71">
        <v>1013</v>
      </c>
      <c r="O71" t="s">
        <v>462</v>
      </c>
      <c r="P71" t="s">
        <v>462</v>
      </c>
      <c r="Q71">
        <v>1</v>
      </c>
      <c r="X71">
        <v>173.87</v>
      </c>
      <c r="Y71">
        <v>0</v>
      </c>
      <c r="Z71">
        <v>0</v>
      </c>
      <c r="AA71">
        <v>0</v>
      </c>
      <c r="AB71">
        <v>17.83</v>
      </c>
      <c r="AC71">
        <v>0</v>
      </c>
      <c r="AD71">
        <v>1</v>
      </c>
      <c r="AE71">
        <v>1</v>
      </c>
      <c r="AF71" t="s">
        <v>140</v>
      </c>
      <c r="AG71">
        <v>249.93812499999996</v>
      </c>
      <c r="AH71">
        <v>2</v>
      </c>
      <c r="AI71">
        <v>51689526</v>
      </c>
      <c r="AJ71">
        <v>74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ROW(Source!A86)</f>
        <v>86</v>
      </c>
      <c r="B72">
        <v>51689547</v>
      </c>
      <c r="C72">
        <v>51689525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26</v>
      </c>
      <c r="K72" t="s">
        <v>469</v>
      </c>
      <c r="L72">
        <v>608254</v>
      </c>
      <c r="N72">
        <v>1013</v>
      </c>
      <c r="O72" t="s">
        <v>470</v>
      </c>
      <c r="P72" t="s">
        <v>470</v>
      </c>
      <c r="Q72">
        <v>1</v>
      </c>
      <c r="X72">
        <v>1.68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139</v>
      </c>
      <c r="AG72">
        <v>2.625</v>
      </c>
      <c r="AH72">
        <v>2</v>
      </c>
      <c r="AI72">
        <v>51689527</v>
      </c>
      <c r="AJ72">
        <v>75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ROW(Source!A86)</f>
        <v>86</v>
      </c>
      <c r="B73">
        <v>51689548</v>
      </c>
      <c r="C73">
        <v>51689525</v>
      </c>
      <c r="D73">
        <v>270771467</v>
      </c>
      <c r="E73">
        <v>1</v>
      </c>
      <c r="F73">
        <v>1</v>
      </c>
      <c r="G73">
        <v>1</v>
      </c>
      <c r="H73">
        <v>2</v>
      </c>
      <c r="I73" t="s">
        <v>476</v>
      </c>
      <c r="J73" t="s">
        <v>477</v>
      </c>
      <c r="K73" t="s">
        <v>478</v>
      </c>
      <c r="L73">
        <v>1368</v>
      </c>
      <c r="N73">
        <v>1011</v>
      </c>
      <c r="O73" t="s">
        <v>466</v>
      </c>
      <c r="P73" t="s">
        <v>466</v>
      </c>
      <c r="Q73">
        <v>1</v>
      </c>
      <c r="X73">
        <v>1.68</v>
      </c>
      <c r="Y73">
        <v>0</v>
      </c>
      <c r="Z73">
        <v>125.73</v>
      </c>
      <c r="AA73">
        <v>24.53</v>
      </c>
      <c r="AB73">
        <v>0</v>
      </c>
      <c r="AC73">
        <v>0</v>
      </c>
      <c r="AD73">
        <v>1</v>
      </c>
      <c r="AE73">
        <v>0</v>
      </c>
      <c r="AF73" t="s">
        <v>139</v>
      </c>
      <c r="AG73">
        <v>2.625</v>
      </c>
      <c r="AH73">
        <v>2</v>
      </c>
      <c r="AI73">
        <v>51689528</v>
      </c>
      <c r="AJ73">
        <v>76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ROW(Source!A86)</f>
        <v>86</v>
      </c>
      <c r="B74">
        <v>51689549</v>
      </c>
      <c r="C74">
        <v>51689525</v>
      </c>
      <c r="D74">
        <v>270773639</v>
      </c>
      <c r="E74">
        <v>1</v>
      </c>
      <c r="F74">
        <v>1</v>
      </c>
      <c r="G74">
        <v>1</v>
      </c>
      <c r="H74">
        <v>2</v>
      </c>
      <c r="I74" t="s">
        <v>545</v>
      </c>
      <c r="J74" t="s">
        <v>546</v>
      </c>
      <c r="K74" t="s">
        <v>547</v>
      </c>
      <c r="L74">
        <v>1368</v>
      </c>
      <c r="N74">
        <v>1011</v>
      </c>
      <c r="O74" t="s">
        <v>466</v>
      </c>
      <c r="P74" t="s">
        <v>466</v>
      </c>
      <c r="Q74">
        <v>1</v>
      </c>
      <c r="X74">
        <v>9.18</v>
      </c>
      <c r="Y74">
        <v>0</v>
      </c>
      <c r="Z74">
        <v>1.97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139</v>
      </c>
      <c r="AG74">
        <v>14.34375</v>
      </c>
      <c r="AH74">
        <v>2</v>
      </c>
      <c r="AI74">
        <v>51689529</v>
      </c>
      <c r="AJ74">
        <v>77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ROW(Source!A86)</f>
        <v>86</v>
      </c>
      <c r="B75">
        <v>51689550</v>
      </c>
      <c r="C75">
        <v>51689525</v>
      </c>
      <c r="D75">
        <v>270773681</v>
      </c>
      <c r="E75">
        <v>1</v>
      </c>
      <c r="F75">
        <v>1</v>
      </c>
      <c r="G75">
        <v>1</v>
      </c>
      <c r="H75">
        <v>2</v>
      </c>
      <c r="I75" t="s">
        <v>548</v>
      </c>
      <c r="J75" t="s">
        <v>549</v>
      </c>
      <c r="K75" t="s">
        <v>550</v>
      </c>
      <c r="L75">
        <v>1368</v>
      </c>
      <c r="N75">
        <v>1011</v>
      </c>
      <c r="O75" t="s">
        <v>466</v>
      </c>
      <c r="P75" t="s">
        <v>466</v>
      </c>
      <c r="Q75">
        <v>1</v>
      </c>
      <c r="X75">
        <v>9.26</v>
      </c>
      <c r="Y75">
        <v>0</v>
      </c>
      <c r="Z75">
        <v>33.59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139</v>
      </c>
      <c r="AG75">
        <v>14.46875</v>
      </c>
      <c r="AH75">
        <v>2</v>
      </c>
      <c r="AI75">
        <v>51689530</v>
      </c>
      <c r="AJ75">
        <v>78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ROW(Source!A86)</f>
        <v>86</v>
      </c>
      <c r="B76">
        <v>51689551</v>
      </c>
      <c r="C76">
        <v>51689525</v>
      </c>
      <c r="D76">
        <v>270773735</v>
      </c>
      <c r="E76">
        <v>1</v>
      </c>
      <c r="F76">
        <v>1</v>
      </c>
      <c r="G76">
        <v>1</v>
      </c>
      <c r="H76">
        <v>2</v>
      </c>
      <c r="I76" t="s">
        <v>551</v>
      </c>
      <c r="J76" t="s">
        <v>552</v>
      </c>
      <c r="K76" t="s">
        <v>553</v>
      </c>
      <c r="L76">
        <v>1368</v>
      </c>
      <c r="N76">
        <v>1011</v>
      </c>
      <c r="O76" t="s">
        <v>466</v>
      </c>
      <c r="P76" t="s">
        <v>466</v>
      </c>
      <c r="Q76">
        <v>1</v>
      </c>
      <c r="X76">
        <v>0.44</v>
      </c>
      <c r="Y76">
        <v>0</v>
      </c>
      <c r="Z76">
        <v>0.98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139</v>
      </c>
      <c r="AG76">
        <v>0.6875</v>
      </c>
      <c r="AH76">
        <v>2</v>
      </c>
      <c r="AI76">
        <v>51689531</v>
      </c>
      <c r="AJ76">
        <v>79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ROW(Source!A86)</f>
        <v>86</v>
      </c>
      <c r="B77">
        <v>51689552</v>
      </c>
      <c r="C77">
        <v>51689525</v>
      </c>
      <c r="D77">
        <v>270774071</v>
      </c>
      <c r="E77">
        <v>1</v>
      </c>
      <c r="F77">
        <v>1</v>
      </c>
      <c r="G77">
        <v>1</v>
      </c>
      <c r="H77">
        <v>2</v>
      </c>
      <c r="I77" t="s">
        <v>479</v>
      </c>
      <c r="J77" t="s">
        <v>480</v>
      </c>
      <c r="K77" t="s">
        <v>481</v>
      </c>
      <c r="L77">
        <v>1368</v>
      </c>
      <c r="N77">
        <v>1011</v>
      </c>
      <c r="O77" t="s">
        <v>466</v>
      </c>
      <c r="P77" t="s">
        <v>466</v>
      </c>
      <c r="Q77">
        <v>1</v>
      </c>
      <c r="X77">
        <v>1.53</v>
      </c>
      <c r="Y77">
        <v>0</v>
      </c>
      <c r="Z77">
        <v>119.95</v>
      </c>
      <c r="AA77">
        <v>20.99</v>
      </c>
      <c r="AB77">
        <v>0</v>
      </c>
      <c r="AC77">
        <v>0</v>
      </c>
      <c r="AD77">
        <v>1</v>
      </c>
      <c r="AE77">
        <v>0</v>
      </c>
      <c r="AF77" t="s">
        <v>139</v>
      </c>
      <c r="AG77">
        <v>2.390625</v>
      </c>
      <c r="AH77">
        <v>2</v>
      </c>
      <c r="AI77">
        <v>51689532</v>
      </c>
      <c r="AJ77">
        <v>80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ROW(Source!A86)</f>
        <v>86</v>
      </c>
      <c r="B78">
        <v>51689553</v>
      </c>
      <c r="C78">
        <v>51689525</v>
      </c>
      <c r="D78">
        <v>270724023</v>
      </c>
      <c r="E78">
        <v>1</v>
      </c>
      <c r="F78">
        <v>1</v>
      </c>
      <c r="G78">
        <v>1</v>
      </c>
      <c r="H78">
        <v>3</v>
      </c>
      <c r="I78" t="s">
        <v>554</v>
      </c>
      <c r="J78" t="s">
        <v>555</v>
      </c>
      <c r="K78" t="s">
        <v>556</v>
      </c>
      <c r="L78">
        <v>1348</v>
      </c>
      <c r="N78">
        <v>1009</v>
      </c>
      <c r="O78" t="s">
        <v>37</v>
      </c>
      <c r="P78" t="s">
        <v>37</v>
      </c>
      <c r="Q78">
        <v>1000</v>
      </c>
      <c r="X78">
        <v>0.0112</v>
      </c>
      <c r="Y78">
        <v>13699.83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0.0112</v>
      </c>
      <c r="AH78">
        <v>2</v>
      </c>
      <c r="AI78">
        <v>51689533</v>
      </c>
      <c r="AJ78">
        <v>81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ROW(Source!A86)</f>
        <v>86</v>
      </c>
      <c r="B79">
        <v>51689554</v>
      </c>
      <c r="C79">
        <v>51689525</v>
      </c>
      <c r="D79">
        <v>270724045</v>
      </c>
      <c r="E79">
        <v>1</v>
      </c>
      <c r="F79">
        <v>1</v>
      </c>
      <c r="G79">
        <v>1</v>
      </c>
      <c r="H79">
        <v>3</v>
      </c>
      <c r="I79" t="s">
        <v>536</v>
      </c>
      <c r="J79" t="s">
        <v>537</v>
      </c>
      <c r="K79" t="s">
        <v>538</v>
      </c>
      <c r="L79">
        <v>1348</v>
      </c>
      <c r="N79">
        <v>1009</v>
      </c>
      <c r="O79" t="s">
        <v>37</v>
      </c>
      <c r="P79" t="s">
        <v>37</v>
      </c>
      <c r="Q79">
        <v>1000</v>
      </c>
      <c r="X79">
        <v>0.00045</v>
      </c>
      <c r="Y79">
        <v>9465.51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0.00045</v>
      </c>
      <c r="AH79">
        <v>2</v>
      </c>
      <c r="AI79">
        <v>51689534</v>
      </c>
      <c r="AJ79">
        <v>82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ROW(Source!A86)</f>
        <v>86</v>
      </c>
      <c r="B80">
        <v>51689555</v>
      </c>
      <c r="C80">
        <v>51689525</v>
      </c>
      <c r="D80">
        <v>270719322</v>
      </c>
      <c r="E80">
        <v>1</v>
      </c>
      <c r="F80">
        <v>1</v>
      </c>
      <c r="G80">
        <v>1</v>
      </c>
      <c r="H80">
        <v>3</v>
      </c>
      <c r="I80" t="s">
        <v>557</v>
      </c>
      <c r="J80" t="s">
        <v>558</v>
      </c>
      <c r="K80" t="s">
        <v>559</v>
      </c>
      <c r="L80">
        <v>1348</v>
      </c>
      <c r="N80">
        <v>1009</v>
      </c>
      <c r="O80" t="s">
        <v>37</v>
      </c>
      <c r="P80" t="s">
        <v>37</v>
      </c>
      <c r="Q80">
        <v>1000</v>
      </c>
      <c r="X80">
        <v>0.0027</v>
      </c>
      <c r="Y80">
        <v>17010.36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0.0027</v>
      </c>
      <c r="AH80">
        <v>2</v>
      </c>
      <c r="AI80">
        <v>51689535</v>
      </c>
      <c r="AJ80">
        <v>83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ROW(Source!A86)</f>
        <v>86</v>
      </c>
      <c r="B81">
        <v>51689556</v>
      </c>
      <c r="C81">
        <v>51689525</v>
      </c>
      <c r="D81">
        <v>270724350</v>
      </c>
      <c r="E81">
        <v>1</v>
      </c>
      <c r="F81">
        <v>1</v>
      </c>
      <c r="G81">
        <v>1</v>
      </c>
      <c r="H81">
        <v>3</v>
      </c>
      <c r="I81" t="s">
        <v>560</v>
      </c>
      <c r="J81" t="s">
        <v>561</v>
      </c>
      <c r="K81" t="s">
        <v>562</v>
      </c>
      <c r="L81">
        <v>1355</v>
      </c>
      <c r="N81">
        <v>1010</v>
      </c>
      <c r="O81" t="s">
        <v>224</v>
      </c>
      <c r="P81" t="s">
        <v>224</v>
      </c>
      <c r="Q81">
        <v>100</v>
      </c>
      <c r="X81">
        <v>0.667</v>
      </c>
      <c r="Y81">
        <v>64.2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0.667</v>
      </c>
      <c r="AH81">
        <v>2</v>
      </c>
      <c r="AI81">
        <v>51689536</v>
      </c>
      <c r="AJ81">
        <v>84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ROW(Source!A86)</f>
        <v>86</v>
      </c>
      <c r="B82">
        <v>51689557</v>
      </c>
      <c r="C82">
        <v>51689525</v>
      </c>
      <c r="D82">
        <v>270724349</v>
      </c>
      <c r="E82">
        <v>1</v>
      </c>
      <c r="F82">
        <v>1</v>
      </c>
      <c r="G82">
        <v>1</v>
      </c>
      <c r="H82">
        <v>3</v>
      </c>
      <c r="I82" t="s">
        <v>563</v>
      </c>
      <c r="J82" t="s">
        <v>564</v>
      </c>
      <c r="K82" t="s">
        <v>565</v>
      </c>
      <c r="L82">
        <v>1358</v>
      </c>
      <c r="N82">
        <v>1010</v>
      </c>
      <c r="O82" t="s">
        <v>566</v>
      </c>
      <c r="P82" t="s">
        <v>566</v>
      </c>
      <c r="Q82">
        <v>10</v>
      </c>
      <c r="X82">
        <v>100.8</v>
      </c>
      <c r="Y82">
        <v>52.13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100.8</v>
      </c>
      <c r="AH82">
        <v>2</v>
      </c>
      <c r="AI82">
        <v>51689537</v>
      </c>
      <c r="AJ82">
        <v>85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ROW(Source!A86)</f>
        <v>86</v>
      </c>
      <c r="B83">
        <v>51689558</v>
      </c>
      <c r="C83">
        <v>51689525</v>
      </c>
      <c r="D83">
        <v>270723946</v>
      </c>
      <c r="E83">
        <v>1</v>
      </c>
      <c r="F83">
        <v>1</v>
      </c>
      <c r="G83">
        <v>1</v>
      </c>
      <c r="H83">
        <v>3</v>
      </c>
      <c r="I83" t="s">
        <v>567</v>
      </c>
      <c r="J83" t="s">
        <v>568</v>
      </c>
      <c r="K83" t="s">
        <v>569</v>
      </c>
      <c r="L83">
        <v>1348</v>
      </c>
      <c r="N83">
        <v>1009</v>
      </c>
      <c r="O83" t="s">
        <v>37</v>
      </c>
      <c r="P83" t="s">
        <v>37</v>
      </c>
      <c r="Q83">
        <v>1000</v>
      </c>
      <c r="X83">
        <v>0.0014</v>
      </c>
      <c r="Y83">
        <v>22364.09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0.0014</v>
      </c>
      <c r="AH83">
        <v>2</v>
      </c>
      <c r="AI83">
        <v>51689538</v>
      </c>
      <c r="AJ83">
        <v>86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ROW(Source!A86)</f>
        <v>86</v>
      </c>
      <c r="B84">
        <v>51689559</v>
      </c>
      <c r="C84">
        <v>51689525</v>
      </c>
      <c r="D84">
        <v>270717462</v>
      </c>
      <c r="E84">
        <v>1</v>
      </c>
      <c r="F84">
        <v>1</v>
      </c>
      <c r="G84">
        <v>1</v>
      </c>
      <c r="H84">
        <v>3</v>
      </c>
      <c r="I84" t="s">
        <v>570</v>
      </c>
      <c r="J84" t="s">
        <v>571</v>
      </c>
      <c r="K84" t="s">
        <v>572</v>
      </c>
      <c r="L84">
        <v>1296</v>
      </c>
      <c r="N84">
        <v>1002</v>
      </c>
      <c r="O84" t="s">
        <v>573</v>
      </c>
      <c r="P84" t="s">
        <v>573</v>
      </c>
      <c r="Q84">
        <v>1</v>
      </c>
      <c r="X84">
        <v>0.75</v>
      </c>
      <c r="Y84">
        <v>68.43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0.75</v>
      </c>
      <c r="AH84">
        <v>2</v>
      </c>
      <c r="AI84">
        <v>51689539</v>
      </c>
      <c r="AJ84">
        <v>87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ROW(Source!A86)</f>
        <v>86</v>
      </c>
      <c r="B85">
        <v>51689560</v>
      </c>
      <c r="C85">
        <v>51689525</v>
      </c>
      <c r="D85">
        <v>270718010</v>
      </c>
      <c r="E85">
        <v>1</v>
      </c>
      <c r="F85">
        <v>1</v>
      </c>
      <c r="G85">
        <v>1</v>
      </c>
      <c r="H85">
        <v>3</v>
      </c>
      <c r="I85" t="s">
        <v>574</v>
      </c>
      <c r="J85" t="s">
        <v>575</v>
      </c>
      <c r="K85" t="s">
        <v>576</v>
      </c>
      <c r="L85">
        <v>36015243</v>
      </c>
      <c r="N85">
        <v>1005</v>
      </c>
      <c r="O85" t="s">
        <v>182</v>
      </c>
      <c r="P85" t="s">
        <v>184</v>
      </c>
      <c r="Q85">
        <v>1</v>
      </c>
      <c r="X85">
        <v>3.62</v>
      </c>
      <c r="Y85">
        <v>6.91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3.62</v>
      </c>
      <c r="AH85">
        <v>2</v>
      </c>
      <c r="AI85">
        <v>51689540</v>
      </c>
      <c r="AJ85">
        <v>88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ROW(Source!A86)</f>
        <v>86</v>
      </c>
      <c r="B86">
        <v>51689561</v>
      </c>
      <c r="C86">
        <v>51689525</v>
      </c>
      <c r="D86">
        <v>270717963</v>
      </c>
      <c r="E86">
        <v>1</v>
      </c>
      <c r="F86">
        <v>1</v>
      </c>
      <c r="G86">
        <v>1</v>
      </c>
      <c r="H86">
        <v>3</v>
      </c>
      <c r="I86" t="s">
        <v>577</v>
      </c>
      <c r="J86" t="s">
        <v>578</v>
      </c>
      <c r="K86" t="s">
        <v>579</v>
      </c>
      <c r="L86">
        <v>36015243</v>
      </c>
      <c r="N86">
        <v>1005</v>
      </c>
      <c r="O86" t="s">
        <v>182</v>
      </c>
      <c r="P86" t="s">
        <v>184</v>
      </c>
      <c r="Q86">
        <v>1</v>
      </c>
      <c r="X86">
        <v>116</v>
      </c>
      <c r="Y86">
        <v>11.03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116</v>
      </c>
      <c r="AH86">
        <v>2</v>
      </c>
      <c r="AI86">
        <v>51689541</v>
      </c>
      <c r="AJ86">
        <v>89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ROW(Source!A86)</f>
        <v>86</v>
      </c>
      <c r="B87">
        <v>51689562</v>
      </c>
      <c r="C87">
        <v>51689525</v>
      </c>
      <c r="D87">
        <v>270722943</v>
      </c>
      <c r="E87">
        <v>1</v>
      </c>
      <c r="F87">
        <v>1</v>
      </c>
      <c r="G87">
        <v>1</v>
      </c>
      <c r="H87">
        <v>3</v>
      </c>
      <c r="I87" t="s">
        <v>580</v>
      </c>
      <c r="J87" t="s">
        <v>581</v>
      </c>
      <c r="K87" t="s">
        <v>582</v>
      </c>
      <c r="L87">
        <v>36015243</v>
      </c>
      <c r="N87">
        <v>1005</v>
      </c>
      <c r="O87" t="s">
        <v>182</v>
      </c>
      <c r="P87" t="s">
        <v>184</v>
      </c>
      <c r="Q87">
        <v>1</v>
      </c>
      <c r="X87">
        <v>126</v>
      </c>
      <c r="Y87">
        <v>62.82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126</v>
      </c>
      <c r="AH87">
        <v>2</v>
      </c>
      <c r="AI87">
        <v>51689542</v>
      </c>
      <c r="AJ87">
        <v>90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ROW(Source!A86)</f>
        <v>86</v>
      </c>
      <c r="B88">
        <v>51689563</v>
      </c>
      <c r="C88">
        <v>51689525</v>
      </c>
      <c r="D88">
        <v>270722944</v>
      </c>
      <c r="E88">
        <v>1</v>
      </c>
      <c r="F88">
        <v>1</v>
      </c>
      <c r="G88">
        <v>1</v>
      </c>
      <c r="H88">
        <v>3</v>
      </c>
      <c r="I88" t="s">
        <v>692</v>
      </c>
      <c r="J88" t="s">
        <v>693</v>
      </c>
      <c r="K88" t="s">
        <v>694</v>
      </c>
      <c r="L88">
        <v>1354</v>
      </c>
      <c r="N88">
        <v>1010</v>
      </c>
      <c r="O88" t="s">
        <v>202</v>
      </c>
      <c r="P88" t="s">
        <v>202</v>
      </c>
      <c r="Q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G88">
        <v>0</v>
      </c>
      <c r="AH88">
        <v>3</v>
      </c>
      <c r="AI88">
        <v>-1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ROW(Source!A86)</f>
        <v>86</v>
      </c>
      <c r="B89">
        <v>51689564</v>
      </c>
      <c r="C89">
        <v>51689525</v>
      </c>
      <c r="D89">
        <v>270725241</v>
      </c>
      <c r="E89">
        <v>1</v>
      </c>
      <c r="F89">
        <v>1</v>
      </c>
      <c r="G89">
        <v>1</v>
      </c>
      <c r="H89">
        <v>3</v>
      </c>
      <c r="I89" t="s">
        <v>583</v>
      </c>
      <c r="J89" t="s">
        <v>584</v>
      </c>
      <c r="K89" t="s">
        <v>585</v>
      </c>
      <c r="L89">
        <v>1339</v>
      </c>
      <c r="N89">
        <v>1007</v>
      </c>
      <c r="O89" t="s">
        <v>149</v>
      </c>
      <c r="P89" t="s">
        <v>149</v>
      </c>
      <c r="Q89">
        <v>1</v>
      </c>
      <c r="X89">
        <v>1.47</v>
      </c>
      <c r="Y89">
        <v>2587.28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1.47</v>
      </c>
      <c r="AH89">
        <v>2</v>
      </c>
      <c r="AI89">
        <v>51689543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ROW(Source!A86)</f>
        <v>86</v>
      </c>
      <c r="B90">
        <v>51689565</v>
      </c>
      <c r="C90">
        <v>51689525</v>
      </c>
      <c r="D90">
        <v>270725083</v>
      </c>
      <c r="E90">
        <v>1</v>
      </c>
      <c r="F90">
        <v>1</v>
      </c>
      <c r="G90">
        <v>1</v>
      </c>
      <c r="H90">
        <v>3</v>
      </c>
      <c r="I90" t="s">
        <v>586</v>
      </c>
      <c r="J90" t="s">
        <v>587</v>
      </c>
      <c r="K90" t="s">
        <v>588</v>
      </c>
      <c r="L90">
        <v>1339</v>
      </c>
      <c r="N90">
        <v>1007</v>
      </c>
      <c r="O90" t="s">
        <v>149</v>
      </c>
      <c r="P90" t="s">
        <v>149</v>
      </c>
      <c r="Q90">
        <v>1</v>
      </c>
      <c r="X90">
        <v>0.46</v>
      </c>
      <c r="Y90">
        <v>1983.12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0.46</v>
      </c>
      <c r="AH90">
        <v>2</v>
      </c>
      <c r="AI90">
        <v>51689544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ROW(Source!A86)</f>
        <v>86</v>
      </c>
      <c r="B91">
        <v>51689566</v>
      </c>
      <c r="C91">
        <v>51689525</v>
      </c>
      <c r="D91">
        <v>270728278</v>
      </c>
      <c r="E91">
        <v>1</v>
      </c>
      <c r="F91">
        <v>1</v>
      </c>
      <c r="G91">
        <v>1</v>
      </c>
      <c r="H91">
        <v>3</v>
      </c>
      <c r="I91" t="s">
        <v>589</v>
      </c>
      <c r="J91" t="s">
        <v>590</v>
      </c>
      <c r="K91" t="s">
        <v>591</v>
      </c>
      <c r="L91">
        <v>1339</v>
      </c>
      <c r="N91">
        <v>1007</v>
      </c>
      <c r="O91" t="s">
        <v>149</v>
      </c>
      <c r="P91" t="s">
        <v>149</v>
      </c>
      <c r="Q91">
        <v>1</v>
      </c>
      <c r="X91">
        <v>0.31</v>
      </c>
      <c r="Y91">
        <v>311.33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0.31</v>
      </c>
      <c r="AH91">
        <v>2</v>
      </c>
      <c r="AI91">
        <v>51689545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ROW(Source!A90)</f>
        <v>90</v>
      </c>
      <c r="B92">
        <v>51688881</v>
      </c>
      <c r="C92">
        <v>51688869</v>
      </c>
      <c r="D92">
        <v>202542696</v>
      </c>
      <c r="E92">
        <v>1</v>
      </c>
      <c r="F92">
        <v>1</v>
      </c>
      <c r="G92">
        <v>1</v>
      </c>
      <c r="H92">
        <v>1</v>
      </c>
      <c r="I92" t="s">
        <v>592</v>
      </c>
      <c r="K92" t="s">
        <v>593</v>
      </c>
      <c r="L92">
        <v>1369</v>
      </c>
      <c r="N92">
        <v>1013</v>
      </c>
      <c r="O92" t="s">
        <v>462</v>
      </c>
      <c r="P92" t="s">
        <v>462</v>
      </c>
      <c r="Q92">
        <v>1</v>
      </c>
      <c r="X92">
        <v>61.6</v>
      </c>
      <c r="Y92">
        <v>0</v>
      </c>
      <c r="Z92">
        <v>0</v>
      </c>
      <c r="AA92">
        <v>0</v>
      </c>
      <c r="AB92">
        <v>18.8</v>
      </c>
      <c r="AC92">
        <v>0</v>
      </c>
      <c r="AD92">
        <v>1</v>
      </c>
      <c r="AE92">
        <v>1</v>
      </c>
      <c r="AF92" t="s">
        <v>140</v>
      </c>
      <c r="AG92">
        <v>88.54999999999998</v>
      </c>
      <c r="AH92">
        <v>2</v>
      </c>
      <c r="AI92">
        <v>51688870</v>
      </c>
      <c r="AJ92">
        <v>97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ROW(Source!A90)</f>
        <v>90</v>
      </c>
      <c r="B93">
        <v>51688882</v>
      </c>
      <c r="C93">
        <v>51688869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26</v>
      </c>
      <c r="K93" t="s">
        <v>469</v>
      </c>
      <c r="L93">
        <v>608254</v>
      </c>
      <c r="N93">
        <v>1013</v>
      </c>
      <c r="O93" t="s">
        <v>470</v>
      </c>
      <c r="P93" t="s">
        <v>470</v>
      </c>
      <c r="Q93">
        <v>1</v>
      </c>
      <c r="X93">
        <v>0.05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139</v>
      </c>
      <c r="AG93">
        <v>0.078125</v>
      </c>
      <c r="AH93">
        <v>2</v>
      </c>
      <c r="AI93">
        <v>51688871</v>
      </c>
      <c r="AJ93">
        <v>98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ROW(Source!A90)</f>
        <v>90</v>
      </c>
      <c r="B94">
        <v>51688883</v>
      </c>
      <c r="C94">
        <v>51688869</v>
      </c>
      <c r="D94">
        <v>270771356</v>
      </c>
      <c r="E94">
        <v>1</v>
      </c>
      <c r="F94">
        <v>1</v>
      </c>
      <c r="G94">
        <v>1</v>
      </c>
      <c r="H94">
        <v>2</v>
      </c>
      <c r="I94" t="s">
        <v>471</v>
      </c>
      <c r="J94" t="s">
        <v>472</v>
      </c>
      <c r="K94" t="s">
        <v>473</v>
      </c>
      <c r="L94">
        <v>1368</v>
      </c>
      <c r="N94">
        <v>1011</v>
      </c>
      <c r="O94" t="s">
        <v>466</v>
      </c>
      <c r="P94" t="s">
        <v>466</v>
      </c>
      <c r="Q94">
        <v>1</v>
      </c>
      <c r="X94">
        <v>0.03</v>
      </c>
      <c r="Y94">
        <v>0</v>
      </c>
      <c r="Z94">
        <v>98.9</v>
      </c>
      <c r="AA94">
        <v>24.53</v>
      </c>
      <c r="AB94">
        <v>0</v>
      </c>
      <c r="AC94">
        <v>0</v>
      </c>
      <c r="AD94">
        <v>1</v>
      </c>
      <c r="AE94">
        <v>0</v>
      </c>
      <c r="AF94" t="s">
        <v>139</v>
      </c>
      <c r="AG94">
        <v>0.046875</v>
      </c>
      <c r="AH94">
        <v>2</v>
      </c>
      <c r="AI94">
        <v>51688872</v>
      </c>
      <c r="AJ94">
        <v>99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ROW(Source!A90)</f>
        <v>90</v>
      </c>
      <c r="B95">
        <v>51688884</v>
      </c>
      <c r="C95">
        <v>51688869</v>
      </c>
      <c r="D95">
        <v>270771467</v>
      </c>
      <c r="E95">
        <v>1</v>
      </c>
      <c r="F95">
        <v>1</v>
      </c>
      <c r="G95">
        <v>1</v>
      </c>
      <c r="H95">
        <v>2</v>
      </c>
      <c r="I95" t="s">
        <v>476</v>
      </c>
      <c r="J95" t="s">
        <v>477</v>
      </c>
      <c r="K95" t="s">
        <v>478</v>
      </c>
      <c r="L95">
        <v>1368</v>
      </c>
      <c r="N95">
        <v>1011</v>
      </c>
      <c r="O95" t="s">
        <v>466</v>
      </c>
      <c r="P95" t="s">
        <v>466</v>
      </c>
      <c r="Q95">
        <v>1</v>
      </c>
      <c r="X95">
        <v>0.02</v>
      </c>
      <c r="Y95">
        <v>0</v>
      </c>
      <c r="Z95">
        <v>125.73</v>
      </c>
      <c r="AA95">
        <v>24.53</v>
      </c>
      <c r="AB95">
        <v>0</v>
      </c>
      <c r="AC95">
        <v>0</v>
      </c>
      <c r="AD95">
        <v>1</v>
      </c>
      <c r="AE95">
        <v>0</v>
      </c>
      <c r="AF95" t="s">
        <v>139</v>
      </c>
      <c r="AG95">
        <v>0.03125</v>
      </c>
      <c r="AH95">
        <v>2</v>
      </c>
      <c r="AI95">
        <v>51688873</v>
      </c>
      <c r="AJ95">
        <v>100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ROW(Source!A90)</f>
        <v>90</v>
      </c>
      <c r="B96">
        <v>51688885</v>
      </c>
      <c r="C96">
        <v>51688869</v>
      </c>
      <c r="D96">
        <v>270774071</v>
      </c>
      <c r="E96">
        <v>1</v>
      </c>
      <c r="F96">
        <v>1</v>
      </c>
      <c r="G96">
        <v>1</v>
      </c>
      <c r="H96">
        <v>2</v>
      </c>
      <c r="I96" t="s">
        <v>479</v>
      </c>
      <c r="J96" t="s">
        <v>480</v>
      </c>
      <c r="K96" t="s">
        <v>481</v>
      </c>
      <c r="L96">
        <v>1368</v>
      </c>
      <c r="N96">
        <v>1011</v>
      </c>
      <c r="O96" t="s">
        <v>466</v>
      </c>
      <c r="P96" t="s">
        <v>466</v>
      </c>
      <c r="Q96">
        <v>1</v>
      </c>
      <c r="X96">
        <v>0.02</v>
      </c>
      <c r="Y96">
        <v>0</v>
      </c>
      <c r="Z96">
        <v>119.95</v>
      </c>
      <c r="AA96">
        <v>20.99</v>
      </c>
      <c r="AB96">
        <v>0</v>
      </c>
      <c r="AC96">
        <v>0</v>
      </c>
      <c r="AD96">
        <v>1</v>
      </c>
      <c r="AE96">
        <v>0</v>
      </c>
      <c r="AF96" t="s">
        <v>139</v>
      </c>
      <c r="AG96">
        <v>0.03125</v>
      </c>
      <c r="AH96">
        <v>2</v>
      </c>
      <c r="AI96">
        <v>51688874</v>
      </c>
      <c r="AJ96">
        <v>101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ROW(Source!A90)</f>
        <v>90</v>
      </c>
      <c r="B97">
        <v>51688886</v>
      </c>
      <c r="C97">
        <v>51688869</v>
      </c>
      <c r="D97">
        <v>270718994</v>
      </c>
      <c r="E97">
        <v>1</v>
      </c>
      <c r="F97">
        <v>1</v>
      </c>
      <c r="G97">
        <v>1</v>
      </c>
      <c r="H97">
        <v>3</v>
      </c>
      <c r="I97" t="s">
        <v>594</v>
      </c>
      <c r="J97" t="s">
        <v>595</v>
      </c>
      <c r="K97" t="s">
        <v>596</v>
      </c>
      <c r="L97">
        <v>1346</v>
      </c>
      <c r="N97">
        <v>1009</v>
      </c>
      <c r="O97" t="s">
        <v>597</v>
      </c>
      <c r="P97" t="s">
        <v>597</v>
      </c>
      <c r="Q97">
        <v>1</v>
      </c>
      <c r="X97">
        <v>4</v>
      </c>
      <c r="Y97">
        <v>21.76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4</v>
      </c>
      <c r="AH97">
        <v>2</v>
      </c>
      <c r="AI97">
        <v>51688875</v>
      </c>
      <c r="AJ97">
        <v>102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ROW(Source!A90)</f>
        <v>90</v>
      </c>
      <c r="B98">
        <v>51688887</v>
      </c>
      <c r="C98">
        <v>51688869</v>
      </c>
      <c r="D98">
        <v>270723892</v>
      </c>
      <c r="E98">
        <v>1</v>
      </c>
      <c r="F98">
        <v>1</v>
      </c>
      <c r="G98">
        <v>1</v>
      </c>
      <c r="H98">
        <v>3</v>
      </c>
      <c r="I98" t="s">
        <v>598</v>
      </c>
      <c r="J98" t="s">
        <v>599</v>
      </c>
      <c r="K98" t="s">
        <v>600</v>
      </c>
      <c r="L98">
        <v>1348</v>
      </c>
      <c r="N98">
        <v>1009</v>
      </c>
      <c r="O98" t="s">
        <v>37</v>
      </c>
      <c r="P98" t="s">
        <v>37</v>
      </c>
      <c r="Q98">
        <v>1000</v>
      </c>
      <c r="X98">
        <v>0.00266</v>
      </c>
      <c r="Y98">
        <v>20724.92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0.00266</v>
      </c>
      <c r="AH98">
        <v>2</v>
      </c>
      <c r="AI98">
        <v>51688876</v>
      </c>
      <c r="AJ98">
        <v>103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ROW(Source!A90)</f>
        <v>90</v>
      </c>
      <c r="B99">
        <v>51688888</v>
      </c>
      <c r="C99">
        <v>51688869</v>
      </c>
      <c r="D99">
        <v>270744519</v>
      </c>
      <c r="E99">
        <v>1</v>
      </c>
      <c r="F99">
        <v>1</v>
      </c>
      <c r="G99">
        <v>1</v>
      </c>
      <c r="H99">
        <v>3</v>
      </c>
      <c r="I99" t="s">
        <v>695</v>
      </c>
      <c r="J99" t="s">
        <v>696</v>
      </c>
      <c r="K99" t="s">
        <v>697</v>
      </c>
      <c r="L99">
        <v>1346</v>
      </c>
      <c r="N99">
        <v>1009</v>
      </c>
      <c r="O99" t="s">
        <v>597</v>
      </c>
      <c r="P99" t="s">
        <v>597</v>
      </c>
      <c r="Q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G99">
        <v>0</v>
      </c>
      <c r="AH99">
        <v>3</v>
      </c>
      <c r="AI99">
        <v>-1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ROW(Source!A90)</f>
        <v>90</v>
      </c>
      <c r="B100">
        <v>51688889</v>
      </c>
      <c r="C100">
        <v>51688869</v>
      </c>
      <c r="D100">
        <v>270748965</v>
      </c>
      <c r="E100">
        <v>1</v>
      </c>
      <c r="F100">
        <v>1</v>
      </c>
      <c r="G100">
        <v>1</v>
      </c>
      <c r="H100">
        <v>3</v>
      </c>
      <c r="I100" t="s">
        <v>601</v>
      </c>
      <c r="J100" t="s">
        <v>602</v>
      </c>
      <c r="K100" t="s">
        <v>603</v>
      </c>
      <c r="L100">
        <v>1301</v>
      </c>
      <c r="N100">
        <v>1003</v>
      </c>
      <c r="O100" t="s">
        <v>212</v>
      </c>
      <c r="P100" t="s">
        <v>212</v>
      </c>
      <c r="Q100">
        <v>1</v>
      </c>
      <c r="X100">
        <v>99.8</v>
      </c>
      <c r="Y100">
        <v>62.72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99.8</v>
      </c>
      <c r="AH100">
        <v>2</v>
      </c>
      <c r="AI100">
        <v>51688877</v>
      </c>
      <c r="AJ100">
        <v>104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ROW(Source!A90)</f>
        <v>90</v>
      </c>
      <c r="B101">
        <v>51688890</v>
      </c>
      <c r="C101">
        <v>51688869</v>
      </c>
      <c r="D101">
        <v>270747398</v>
      </c>
      <c r="E101">
        <v>1</v>
      </c>
      <c r="F101">
        <v>1</v>
      </c>
      <c r="G101">
        <v>1</v>
      </c>
      <c r="H101">
        <v>3</v>
      </c>
      <c r="I101" t="s">
        <v>698</v>
      </c>
      <c r="J101" t="s">
        <v>699</v>
      </c>
      <c r="K101" t="s">
        <v>700</v>
      </c>
      <c r="L101">
        <v>1354</v>
      </c>
      <c r="N101">
        <v>1010</v>
      </c>
      <c r="O101" t="s">
        <v>202</v>
      </c>
      <c r="P101" t="s">
        <v>202</v>
      </c>
      <c r="Q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G101">
        <v>0</v>
      </c>
      <c r="AH101">
        <v>3</v>
      </c>
      <c r="AI101">
        <v>-1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ROW(Source!A90)</f>
        <v>90</v>
      </c>
      <c r="B102">
        <v>51688891</v>
      </c>
      <c r="C102">
        <v>51688869</v>
      </c>
      <c r="D102">
        <v>270705963</v>
      </c>
      <c r="E102">
        <v>1</v>
      </c>
      <c r="F102">
        <v>1</v>
      </c>
      <c r="G102">
        <v>1</v>
      </c>
      <c r="H102">
        <v>3</v>
      </c>
      <c r="I102" t="s">
        <v>503</v>
      </c>
      <c r="J102" t="s">
        <v>504</v>
      </c>
      <c r="K102" t="s">
        <v>505</v>
      </c>
      <c r="L102">
        <v>1339</v>
      </c>
      <c r="N102">
        <v>1007</v>
      </c>
      <c r="O102" t="s">
        <v>149</v>
      </c>
      <c r="P102" t="s">
        <v>149</v>
      </c>
      <c r="Q102">
        <v>1</v>
      </c>
      <c r="X102">
        <v>1.57</v>
      </c>
      <c r="Y102">
        <v>2.16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1.57</v>
      </c>
      <c r="AH102">
        <v>2</v>
      </c>
      <c r="AI102">
        <v>51688878</v>
      </c>
      <c r="AJ102">
        <v>105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ROW(Source!A93)</f>
        <v>93</v>
      </c>
      <c r="B103">
        <v>51688902</v>
      </c>
      <c r="C103">
        <v>51688894</v>
      </c>
      <c r="D103">
        <v>202548993</v>
      </c>
      <c r="E103">
        <v>1</v>
      </c>
      <c r="F103">
        <v>1</v>
      </c>
      <c r="G103">
        <v>1</v>
      </c>
      <c r="H103">
        <v>1</v>
      </c>
      <c r="I103" t="s">
        <v>474</v>
      </c>
      <c r="K103" t="s">
        <v>475</v>
      </c>
      <c r="L103">
        <v>1369</v>
      </c>
      <c r="N103">
        <v>1013</v>
      </c>
      <c r="O103" t="s">
        <v>462</v>
      </c>
      <c r="P103" t="s">
        <v>462</v>
      </c>
      <c r="Q103">
        <v>1</v>
      </c>
      <c r="X103">
        <v>143</v>
      </c>
      <c r="Y103">
        <v>0</v>
      </c>
      <c r="Z103">
        <v>0</v>
      </c>
      <c r="AA103">
        <v>0</v>
      </c>
      <c r="AB103">
        <v>16.17</v>
      </c>
      <c r="AC103">
        <v>0</v>
      </c>
      <c r="AD103">
        <v>1</v>
      </c>
      <c r="AE103">
        <v>1</v>
      </c>
      <c r="AF103" t="s">
        <v>140</v>
      </c>
      <c r="AG103">
        <v>205.5625</v>
      </c>
      <c r="AH103">
        <v>2</v>
      </c>
      <c r="AI103">
        <v>51688895</v>
      </c>
      <c r="AJ103">
        <v>108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ROW(Source!A93)</f>
        <v>93</v>
      </c>
      <c r="B104">
        <v>51688903</v>
      </c>
      <c r="C104">
        <v>51688894</v>
      </c>
      <c r="D104">
        <v>270773735</v>
      </c>
      <c r="E104">
        <v>1</v>
      </c>
      <c r="F104">
        <v>1</v>
      </c>
      <c r="G104">
        <v>1</v>
      </c>
      <c r="H104">
        <v>2</v>
      </c>
      <c r="I104" t="s">
        <v>551</v>
      </c>
      <c r="J104" t="s">
        <v>552</v>
      </c>
      <c r="K104" t="s">
        <v>553</v>
      </c>
      <c r="L104">
        <v>1368</v>
      </c>
      <c r="N104">
        <v>1011</v>
      </c>
      <c r="O104" t="s">
        <v>466</v>
      </c>
      <c r="P104" t="s">
        <v>466</v>
      </c>
      <c r="Q104">
        <v>1</v>
      </c>
      <c r="X104">
        <v>1.43</v>
      </c>
      <c r="Y104">
        <v>0</v>
      </c>
      <c r="Z104">
        <v>0.98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139</v>
      </c>
      <c r="AG104">
        <v>2.234375</v>
      </c>
      <c r="AH104">
        <v>2</v>
      </c>
      <c r="AI104">
        <v>51688896</v>
      </c>
      <c r="AJ104">
        <v>109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ROW(Source!A93)</f>
        <v>93</v>
      </c>
      <c r="B105">
        <v>51688904</v>
      </c>
      <c r="C105">
        <v>51688894</v>
      </c>
      <c r="D105">
        <v>270774071</v>
      </c>
      <c r="E105">
        <v>1</v>
      </c>
      <c r="F105">
        <v>1</v>
      </c>
      <c r="G105">
        <v>1</v>
      </c>
      <c r="H105">
        <v>2</v>
      </c>
      <c r="I105" t="s">
        <v>479</v>
      </c>
      <c r="J105" t="s">
        <v>480</v>
      </c>
      <c r="K105" t="s">
        <v>481</v>
      </c>
      <c r="L105">
        <v>1368</v>
      </c>
      <c r="N105">
        <v>1011</v>
      </c>
      <c r="O105" t="s">
        <v>466</v>
      </c>
      <c r="P105" t="s">
        <v>466</v>
      </c>
      <c r="Q105">
        <v>1</v>
      </c>
      <c r="X105">
        <v>0.9</v>
      </c>
      <c r="Y105">
        <v>0</v>
      </c>
      <c r="Z105">
        <v>119.95</v>
      </c>
      <c r="AA105">
        <v>20.99</v>
      </c>
      <c r="AB105">
        <v>0</v>
      </c>
      <c r="AC105">
        <v>0</v>
      </c>
      <c r="AD105">
        <v>1</v>
      </c>
      <c r="AE105">
        <v>0</v>
      </c>
      <c r="AF105" t="s">
        <v>139</v>
      </c>
      <c r="AG105">
        <v>1.40625</v>
      </c>
      <c r="AH105">
        <v>2</v>
      </c>
      <c r="AI105">
        <v>51688897</v>
      </c>
      <c r="AJ105">
        <v>110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ROW(Source!A93)</f>
        <v>93</v>
      </c>
      <c r="B106">
        <v>51688905</v>
      </c>
      <c r="C106">
        <v>51688894</v>
      </c>
      <c r="D106">
        <v>270723982</v>
      </c>
      <c r="E106">
        <v>1</v>
      </c>
      <c r="F106">
        <v>1</v>
      </c>
      <c r="G106">
        <v>1</v>
      </c>
      <c r="H106">
        <v>3</v>
      </c>
      <c r="I106" t="s">
        <v>488</v>
      </c>
      <c r="J106" t="s">
        <v>489</v>
      </c>
      <c r="K106" t="s">
        <v>490</v>
      </c>
      <c r="L106">
        <v>1348</v>
      </c>
      <c r="N106">
        <v>1009</v>
      </c>
      <c r="O106" t="s">
        <v>37</v>
      </c>
      <c r="P106" t="s">
        <v>37</v>
      </c>
      <c r="Q106">
        <v>1000</v>
      </c>
      <c r="X106">
        <v>0.0036</v>
      </c>
      <c r="Y106">
        <v>10672.41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0.0036</v>
      </c>
      <c r="AH106">
        <v>2</v>
      </c>
      <c r="AI106">
        <v>51688898</v>
      </c>
      <c r="AJ106">
        <v>111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ROW(Source!A93)</f>
        <v>93</v>
      </c>
      <c r="B107">
        <v>51688906</v>
      </c>
      <c r="C107">
        <v>51688894</v>
      </c>
      <c r="D107">
        <v>270725251</v>
      </c>
      <c r="E107">
        <v>1</v>
      </c>
      <c r="F107">
        <v>1</v>
      </c>
      <c r="G107">
        <v>1</v>
      </c>
      <c r="H107">
        <v>3</v>
      </c>
      <c r="I107" t="s">
        <v>604</v>
      </c>
      <c r="J107" t="s">
        <v>605</v>
      </c>
      <c r="K107" t="s">
        <v>606</v>
      </c>
      <c r="L107">
        <v>1339</v>
      </c>
      <c r="N107">
        <v>1007</v>
      </c>
      <c r="O107" t="s">
        <v>149</v>
      </c>
      <c r="P107" t="s">
        <v>149</v>
      </c>
      <c r="Q107">
        <v>1</v>
      </c>
      <c r="X107">
        <v>0.58</v>
      </c>
      <c r="Y107">
        <v>1602.98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0.58</v>
      </c>
      <c r="AH107">
        <v>2</v>
      </c>
      <c r="AI107">
        <v>51688899</v>
      </c>
      <c r="AJ107">
        <v>112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ROW(Source!A93)</f>
        <v>93</v>
      </c>
      <c r="B108">
        <v>51688907</v>
      </c>
      <c r="C108">
        <v>51688894</v>
      </c>
      <c r="D108">
        <v>270725263</v>
      </c>
      <c r="E108">
        <v>1</v>
      </c>
      <c r="F108">
        <v>1</v>
      </c>
      <c r="G108">
        <v>1</v>
      </c>
      <c r="H108">
        <v>3</v>
      </c>
      <c r="I108" t="s">
        <v>607</v>
      </c>
      <c r="J108" t="s">
        <v>608</v>
      </c>
      <c r="K108" t="s">
        <v>609</v>
      </c>
      <c r="L108">
        <v>1339</v>
      </c>
      <c r="N108">
        <v>1007</v>
      </c>
      <c r="O108" t="s">
        <v>149</v>
      </c>
      <c r="P108" t="s">
        <v>149</v>
      </c>
      <c r="Q108">
        <v>1</v>
      </c>
      <c r="X108">
        <v>0.92</v>
      </c>
      <c r="Y108">
        <v>1979.06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0.92</v>
      </c>
      <c r="AH108">
        <v>2</v>
      </c>
      <c r="AI108">
        <v>51688900</v>
      </c>
      <c r="AJ108">
        <v>113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ROW(Source!A93)</f>
        <v>93</v>
      </c>
      <c r="B109">
        <v>51688908</v>
      </c>
      <c r="C109">
        <v>51688894</v>
      </c>
      <c r="D109">
        <v>270713033</v>
      </c>
      <c r="E109">
        <v>1</v>
      </c>
      <c r="F109">
        <v>1</v>
      </c>
      <c r="G109">
        <v>1</v>
      </c>
      <c r="H109">
        <v>3</v>
      </c>
      <c r="I109" t="s">
        <v>610</v>
      </c>
      <c r="J109" t="s">
        <v>611</v>
      </c>
      <c r="K109" t="s">
        <v>612</v>
      </c>
      <c r="L109">
        <v>1339</v>
      </c>
      <c r="N109">
        <v>1007</v>
      </c>
      <c r="O109" t="s">
        <v>149</v>
      </c>
      <c r="P109" t="s">
        <v>149</v>
      </c>
      <c r="Q109">
        <v>1</v>
      </c>
      <c r="X109">
        <v>1.06</v>
      </c>
      <c r="Y109">
        <v>3091.68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1.06</v>
      </c>
      <c r="AH109">
        <v>2</v>
      </c>
      <c r="AI109">
        <v>51688901</v>
      </c>
      <c r="AJ109">
        <v>114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ROW(Source!A94)</f>
        <v>94</v>
      </c>
      <c r="B110">
        <v>51689004</v>
      </c>
      <c r="C110">
        <v>51688993</v>
      </c>
      <c r="D110">
        <v>202545148</v>
      </c>
      <c r="E110">
        <v>1</v>
      </c>
      <c r="F110">
        <v>1</v>
      </c>
      <c r="G110">
        <v>1</v>
      </c>
      <c r="H110">
        <v>1</v>
      </c>
      <c r="I110" t="s">
        <v>613</v>
      </c>
      <c r="K110" t="s">
        <v>614</v>
      </c>
      <c r="L110">
        <v>1369</v>
      </c>
      <c r="N110">
        <v>1013</v>
      </c>
      <c r="O110" t="s">
        <v>462</v>
      </c>
      <c r="P110" t="s">
        <v>462</v>
      </c>
      <c r="Q110">
        <v>1</v>
      </c>
      <c r="X110">
        <v>6.67</v>
      </c>
      <c r="Y110">
        <v>0</v>
      </c>
      <c r="Z110">
        <v>0</v>
      </c>
      <c r="AA110">
        <v>0</v>
      </c>
      <c r="AB110">
        <v>16.79</v>
      </c>
      <c r="AC110">
        <v>0</v>
      </c>
      <c r="AD110">
        <v>1</v>
      </c>
      <c r="AE110">
        <v>1</v>
      </c>
      <c r="AF110" t="s">
        <v>140</v>
      </c>
      <c r="AG110">
        <v>9.588125</v>
      </c>
      <c r="AH110">
        <v>2</v>
      </c>
      <c r="AI110">
        <v>51688994</v>
      </c>
      <c r="AJ110">
        <v>115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ROW(Source!A94)</f>
        <v>94</v>
      </c>
      <c r="B111">
        <v>51689005</v>
      </c>
      <c r="C111">
        <v>51688993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26</v>
      </c>
      <c r="K111" t="s">
        <v>469</v>
      </c>
      <c r="L111">
        <v>608254</v>
      </c>
      <c r="N111">
        <v>1013</v>
      </c>
      <c r="O111" t="s">
        <v>470</v>
      </c>
      <c r="P111" t="s">
        <v>470</v>
      </c>
      <c r="Q111">
        <v>1</v>
      </c>
      <c r="X111">
        <v>0.29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139</v>
      </c>
      <c r="AG111">
        <v>0.453125</v>
      </c>
      <c r="AH111">
        <v>2</v>
      </c>
      <c r="AI111">
        <v>51688995</v>
      </c>
      <c r="AJ111">
        <v>116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ROW(Source!A94)</f>
        <v>94</v>
      </c>
      <c r="B112">
        <v>51689006</v>
      </c>
      <c r="C112">
        <v>51688993</v>
      </c>
      <c r="D112">
        <v>270771356</v>
      </c>
      <c r="E112">
        <v>1</v>
      </c>
      <c r="F112">
        <v>1</v>
      </c>
      <c r="G112">
        <v>1</v>
      </c>
      <c r="H112">
        <v>2</v>
      </c>
      <c r="I112" t="s">
        <v>471</v>
      </c>
      <c r="J112" t="s">
        <v>472</v>
      </c>
      <c r="K112" t="s">
        <v>473</v>
      </c>
      <c r="L112">
        <v>1368</v>
      </c>
      <c r="N112">
        <v>1011</v>
      </c>
      <c r="O112" t="s">
        <v>466</v>
      </c>
      <c r="P112" t="s">
        <v>466</v>
      </c>
      <c r="Q112">
        <v>1</v>
      </c>
      <c r="X112">
        <v>0.18</v>
      </c>
      <c r="Y112">
        <v>0</v>
      </c>
      <c r="Z112">
        <v>98.9</v>
      </c>
      <c r="AA112">
        <v>24.53</v>
      </c>
      <c r="AB112">
        <v>0</v>
      </c>
      <c r="AC112">
        <v>0</v>
      </c>
      <c r="AD112">
        <v>1</v>
      </c>
      <c r="AE112">
        <v>0</v>
      </c>
      <c r="AF112" t="s">
        <v>139</v>
      </c>
      <c r="AG112">
        <v>0.28125</v>
      </c>
      <c r="AH112">
        <v>2</v>
      </c>
      <c r="AI112">
        <v>51688996</v>
      </c>
      <c r="AJ112">
        <v>117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ROW(Source!A94)</f>
        <v>94</v>
      </c>
      <c r="B113">
        <v>51689007</v>
      </c>
      <c r="C113">
        <v>51688993</v>
      </c>
      <c r="D113">
        <v>270771467</v>
      </c>
      <c r="E113">
        <v>1</v>
      </c>
      <c r="F113">
        <v>1</v>
      </c>
      <c r="G113">
        <v>1</v>
      </c>
      <c r="H113">
        <v>2</v>
      </c>
      <c r="I113" t="s">
        <v>476</v>
      </c>
      <c r="J113" t="s">
        <v>477</v>
      </c>
      <c r="K113" t="s">
        <v>478</v>
      </c>
      <c r="L113">
        <v>1368</v>
      </c>
      <c r="N113">
        <v>1011</v>
      </c>
      <c r="O113" t="s">
        <v>466</v>
      </c>
      <c r="P113" t="s">
        <v>466</v>
      </c>
      <c r="Q113">
        <v>1</v>
      </c>
      <c r="X113">
        <v>0.11</v>
      </c>
      <c r="Y113">
        <v>0</v>
      </c>
      <c r="Z113">
        <v>125.73</v>
      </c>
      <c r="AA113">
        <v>24.53</v>
      </c>
      <c r="AB113">
        <v>0</v>
      </c>
      <c r="AC113">
        <v>0</v>
      </c>
      <c r="AD113">
        <v>1</v>
      </c>
      <c r="AE113">
        <v>0</v>
      </c>
      <c r="AF113" t="s">
        <v>139</v>
      </c>
      <c r="AG113">
        <v>0.171875</v>
      </c>
      <c r="AH113">
        <v>2</v>
      </c>
      <c r="AI113">
        <v>51688997</v>
      </c>
      <c r="AJ113">
        <v>118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ROW(Source!A94)</f>
        <v>94</v>
      </c>
      <c r="B114">
        <v>51689008</v>
      </c>
      <c r="C114">
        <v>51688993</v>
      </c>
      <c r="D114">
        <v>270771745</v>
      </c>
      <c r="E114">
        <v>1</v>
      </c>
      <c r="F114">
        <v>1</v>
      </c>
      <c r="G114">
        <v>1</v>
      </c>
      <c r="H114">
        <v>2</v>
      </c>
      <c r="I114" t="s">
        <v>615</v>
      </c>
      <c r="J114" t="s">
        <v>616</v>
      </c>
      <c r="K114" t="s">
        <v>617</v>
      </c>
      <c r="L114">
        <v>1368</v>
      </c>
      <c r="N114">
        <v>1011</v>
      </c>
      <c r="O114" t="s">
        <v>466</v>
      </c>
      <c r="P114" t="s">
        <v>466</v>
      </c>
      <c r="Q114">
        <v>1</v>
      </c>
      <c r="X114">
        <v>1.89</v>
      </c>
      <c r="Y114">
        <v>0</v>
      </c>
      <c r="Z114">
        <v>8.31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139</v>
      </c>
      <c r="AG114">
        <v>2.953125</v>
      </c>
      <c r="AH114">
        <v>2</v>
      </c>
      <c r="AI114">
        <v>51688998</v>
      </c>
      <c r="AJ114">
        <v>119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ROW(Source!A94)</f>
        <v>94</v>
      </c>
      <c r="B115">
        <v>51689009</v>
      </c>
      <c r="C115">
        <v>51688993</v>
      </c>
      <c r="D115">
        <v>270774071</v>
      </c>
      <c r="E115">
        <v>1</v>
      </c>
      <c r="F115">
        <v>1</v>
      </c>
      <c r="G115">
        <v>1</v>
      </c>
      <c r="H115">
        <v>2</v>
      </c>
      <c r="I115" t="s">
        <v>479</v>
      </c>
      <c r="J115" t="s">
        <v>480</v>
      </c>
      <c r="K115" t="s">
        <v>481</v>
      </c>
      <c r="L115">
        <v>1368</v>
      </c>
      <c r="N115">
        <v>1011</v>
      </c>
      <c r="O115" t="s">
        <v>466</v>
      </c>
      <c r="P115" t="s">
        <v>466</v>
      </c>
      <c r="Q115">
        <v>1</v>
      </c>
      <c r="X115">
        <v>0.14</v>
      </c>
      <c r="Y115">
        <v>0</v>
      </c>
      <c r="Z115">
        <v>119.95</v>
      </c>
      <c r="AA115">
        <v>20.99</v>
      </c>
      <c r="AB115">
        <v>0</v>
      </c>
      <c r="AC115">
        <v>0</v>
      </c>
      <c r="AD115">
        <v>1</v>
      </c>
      <c r="AE115">
        <v>0</v>
      </c>
      <c r="AF115" t="s">
        <v>139</v>
      </c>
      <c r="AG115">
        <v>0.21875000000000003</v>
      </c>
      <c r="AH115">
        <v>2</v>
      </c>
      <c r="AI115">
        <v>51688999</v>
      </c>
      <c r="AJ115">
        <v>120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ROW(Source!A94)</f>
        <v>94</v>
      </c>
      <c r="B116">
        <v>51689010</v>
      </c>
      <c r="C116">
        <v>51688993</v>
      </c>
      <c r="D116">
        <v>270723636</v>
      </c>
      <c r="E116">
        <v>1</v>
      </c>
      <c r="F116">
        <v>1</v>
      </c>
      <c r="G116">
        <v>1</v>
      </c>
      <c r="H116">
        <v>3</v>
      </c>
      <c r="I116" t="s">
        <v>618</v>
      </c>
      <c r="J116" t="s">
        <v>619</v>
      </c>
      <c r="K116" t="s">
        <v>620</v>
      </c>
      <c r="L116">
        <v>1348</v>
      </c>
      <c r="N116">
        <v>1009</v>
      </c>
      <c r="O116" t="s">
        <v>37</v>
      </c>
      <c r="P116" t="s">
        <v>37</v>
      </c>
      <c r="Q116">
        <v>1000</v>
      </c>
      <c r="X116">
        <v>0.0005</v>
      </c>
      <c r="Y116">
        <v>12139.44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0.0005</v>
      </c>
      <c r="AH116">
        <v>2</v>
      </c>
      <c r="AI116">
        <v>51689000</v>
      </c>
      <c r="AJ116">
        <v>121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ROW(Source!A94)</f>
        <v>94</v>
      </c>
      <c r="B117">
        <v>51689011</v>
      </c>
      <c r="C117">
        <v>51688993</v>
      </c>
      <c r="D117">
        <v>270719032</v>
      </c>
      <c r="E117">
        <v>1</v>
      </c>
      <c r="F117">
        <v>1</v>
      </c>
      <c r="G117">
        <v>1</v>
      </c>
      <c r="H117">
        <v>3</v>
      </c>
      <c r="I117" t="s">
        <v>621</v>
      </c>
      <c r="J117" t="s">
        <v>622</v>
      </c>
      <c r="K117" t="s">
        <v>623</v>
      </c>
      <c r="L117">
        <v>1346</v>
      </c>
      <c r="N117">
        <v>1009</v>
      </c>
      <c r="O117" t="s">
        <v>597</v>
      </c>
      <c r="P117" t="s">
        <v>597</v>
      </c>
      <c r="Q117">
        <v>1</v>
      </c>
      <c r="X117">
        <v>0.52</v>
      </c>
      <c r="Y117">
        <v>50.47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0.52</v>
      </c>
      <c r="AH117">
        <v>2</v>
      </c>
      <c r="AI117">
        <v>51689001</v>
      </c>
      <c r="AJ117">
        <v>122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ROW(Source!A94)</f>
        <v>94</v>
      </c>
      <c r="B118">
        <v>51689012</v>
      </c>
      <c r="C118">
        <v>51688993</v>
      </c>
      <c r="D118">
        <v>270711264</v>
      </c>
      <c r="E118">
        <v>1</v>
      </c>
      <c r="F118">
        <v>1</v>
      </c>
      <c r="G118">
        <v>1</v>
      </c>
      <c r="H118">
        <v>3</v>
      </c>
      <c r="I118" t="s">
        <v>248</v>
      </c>
      <c r="J118" t="s">
        <v>250</v>
      </c>
      <c r="K118" t="s">
        <v>249</v>
      </c>
      <c r="L118">
        <v>1348</v>
      </c>
      <c r="N118">
        <v>1009</v>
      </c>
      <c r="O118" t="s">
        <v>37</v>
      </c>
      <c r="P118" t="s">
        <v>37</v>
      </c>
      <c r="Q118">
        <v>1000</v>
      </c>
      <c r="X118">
        <v>0.3</v>
      </c>
      <c r="Y118">
        <v>13088.27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0.3</v>
      </c>
      <c r="AH118">
        <v>2</v>
      </c>
      <c r="AI118">
        <v>51689003</v>
      </c>
      <c r="AJ118">
        <v>124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ROW(Source!A98)</f>
        <v>98</v>
      </c>
      <c r="B119">
        <v>51670316</v>
      </c>
      <c r="C119">
        <v>51670307</v>
      </c>
      <c r="D119">
        <v>202543279</v>
      </c>
      <c r="E119">
        <v>1</v>
      </c>
      <c r="F119">
        <v>1</v>
      </c>
      <c r="G119">
        <v>1</v>
      </c>
      <c r="H119">
        <v>1</v>
      </c>
      <c r="I119" t="s">
        <v>624</v>
      </c>
      <c r="K119" t="s">
        <v>625</v>
      </c>
      <c r="L119">
        <v>1369</v>
      </c>
      <c r="N119">
        <v>1013</v>
      </c>
      <c r="O119" t="s">
        <v>462</v>
      </c>
      <c r="P119" t="s">
        <v>462</v>
      </c>
      <c r="Q119">
        <v>1</v>
      </c>
      <c r="X119">
        <v>1.46</v>
      </c>
      <c r="Y119">
        <v>0</v>
      </c>
      <c r="Z119">
        <v>0</v>
      </c>
      <c r="AA119">
        <v>0</v>
      </c>
      <c r="AB119">
        <v>17</v>
      </c>
      <c r="AC119">
        <v>0</v>
      </c>
      <c r="AD119">
        <v>1</v>
      </c>
      <c r="AE119">
        <v>1</v>
      </c>
      <c r="AF119" t="s">
        <v>140</v>
      </c>
      <c r="AG119">
        <v>2.09875</v>
      </c>
      <c r="AH119">
        <v>2</v>
      </c>
      <c r="AI119">
        <v>51670308</v>
      </c>
      <c r="AJ119">
        <v>126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ROW(Source!A98)</f>
        <v>98</v>
      </c>
      <c r="B120">
        <v>51670317</v>
      </c>
      <c r="C120">
        <v>51670307</v>
      </c>
      <c r="D120">
        <v>270771745</v>
      </c>
      <c r="E120">
        <v>1</v>
      </c>
      <c r="F120">
        <v>1</v>
      </c>
      <c r="G120">
        <v>1</v>
      </c>
      <c r="H120">
        <v>2</v>
      </c>
      <c r="I120" t="s">
        <v>615</v>
      </c>
      <c r="J120" t="s">
        <v>616</v>
      </c>
      <c r="K120" t="s">
        <v>617</v>
      </c>
      <c r="L120">
        <v>1368</v>
      </c>
      <c r="N120">
        <v>1011</v>
      </c>
      <c r="O120" t="s">
        <v>466</v>
      </c>
      <c r="P120" t="s">
        <v>466</v>
      </c>
      <c r="Q120">
        <v>1</v>
      </c>
      <c r="X120">
        <v>0.12</v>
      </c>
      <c r="Y120">
        <v>0</v>
      </c>
      <c r="Z120">
        <v>8.31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139</v>
      </c>
      <c r="AG120">
        <v>0.1875</v>
      </c>
      <c r="AH120">
        <v>2</v>
      </c>
      <c r="AI120">
        <v>51670309</v>
      </c>
      <c r="AJ120">
        <v>127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ROW(Source!A98)</f>
        <v>98</v>
      </c>
      <c r="B121">
        <v>51670318</v>
      </c>
      <c r="C121">
        <v>51670307</v>
      </c>
      <c r="D121">
        <v>270773639</v>
      </c>
      <c r="E121">
        <v>1</v>
      </c>
      <c r="F121">
        <v>1</v>
      </c>
      <c r="G121">
        <v>1</v>
      </c>
      <c r="H121">
        <v>2</v>
      </c>
      <c r="I121" t="s">
        <v>545</v>
      </c>
      <c r="J121" t="s">
        <v>546</v>
      </c>
      <c r="K121" t="s">
        <v>547</v>
      </c>
      <c r="L121">
        <v>1368</v>
      </c>
      <c r="N121">
        <v>1011</v>
      </c>
      <c r="O121" t="s">
        <v>466</v>
      </c>
      <c r="P121" t="s">
        <v>466</v>
      </c>
      <c r="Q121">
        <v>1</v>
      </c>
      <c r="X121">
        <v>0.27</v>
      </c>
      <c r="Y121">
        <v>0</v>
      </c>
      <c r="Z121">
        <v>1.97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139</v>
      </c>
      <c r="AG121">
        <v>0.421875</v>
      </c>
      <c r="AH121">
        <v>2</v>
      </c>
      <c r="AI121">
        <v>51670310</v>
      </c>
      <c r="AJ121">
        <v>128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ROW(Source!A98)</f>
        <v>98</v>
      </c>
      <c r="B122">
        <v>51670319</v>
      </c>
      <c r="C122">
        <v>51670307</v>
      </c>
      <c r="D122">
        <v>270774071</v>
      </c>
      <c r="E122">
        <v>1</v>
      </c>
      <c r="F122">
        <v>1</v>
      </c>
      <c r="G122">
        <v>1</v>
      </c>
      <c r="H122">
        <v>2</v>
      </c>
      <c r="I122" t="s">
        <v>479</v>
      </c>
      <c r="J122" t="s">
        <v>480</v>
      </c>
      <c r="K122" t="s">
        <v>481</v>
      </c>
      <c r="L122">
        <v>1368</v>
      </c>
      <c r="N122">
        <v>1011</v>
      </c>
      <c r="O122" t="s">
        <v>466</v>
      </c>
      <c r="P122" t="s">
        <v>466</v>
      </c>
      <c r="Q122">
        <v>1</v>
      </c>
      <c r="X122">
        <v>0.01</v>
      </c>
      <c r="Y122">
        <v>0</v>
      </c>
      <c r="Z122">
        <v>119.95</v>
      </c>
      <c r="AA122">
        <v>20.99</v>
      </c>
      <c r="AB122">
        <v>0</v>
      </c>
      <c r="AC122">
        <v>0</v>
      </c>
      <c r="AD122">
        <v>1</v>
      </c>
      <c r="AE122">
        <v>0</v>
      </c>
      <c r="AF122" t="s">
        <v>139</v>
      </c>
      <c r="AG122">
        <v>0.015625</v>
      </c>
      <c r="AH122">
        <v>2</v>
      </c>
      <c r="AI122">
        <v>51670311</v>
      </c>
      <c r="AJ122">
        <v>129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ROW(Source!A98)</f>
        <v>98</v>
      </c>
      <c r="B123">
        <v>51670320</v>
      </c>
      <c r="C123">
        <v>51670307</v>
      </c>
      <c r="D123">
        <v>270723640</v>
      </c>
      <c r="E123">
        <v>1</v>
      </c>
      <c r="F123">
        <v>1</v>
      </c>
      <c r="G123">
        <v>1</v>
      </c>
      <c r="H123">
        <v>3</v>
      </c>
      <c r="I123" t="s">
        <v>626</v>
      </c>
      <c r="J123" t="s">
        <v>627</v>
      </c>
      <c r="K123" t="s">
        <v>628</v>
      </c>
      <c r="L123">
        <v>1348</v>
      </c>
      <c r="N123">
        <v>1009</v>
      </c>
      <c r="O123" t="s">
        <v>37</v>
      </c>
      <c r="P123" t="s">
        <v>37</v>
      </c>
      <c r="Q123">
        <v>1000</v>
      </c>
      <c r="X123">
        <v>0.00011</v>
      </c>
      <c r="Y123">
        <v>14120.9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0.00011</v>
      </c>
      <c r="AH123">
        <v>2</v>
      </c>
      <c r="AI123">
        <v>51670312</v>
      </c>
      <c r="AJ123">
        <v>130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ROW(Source!A98)</f>
        <v>98</v>
      </c>
      <c r="B124">
        <v>51670321</v>
      </c>
      <c r="C124">
        <v>51670307</v>
      </c>
      <c r="D124">
        <v>270713328</v>
      </c>
      <c r="E124">
        <v>1</v>
      </c>
      <c r="F124">
        <v>1</v>
      </c>
      <c r="G124">
        <v>1</v>
      </c>
      <c r="H124">
        <v>3</v>
      </c>
      <c r="I124" t="s">
        <v>629</v>
      </c>
      <c r="J124" t="s">
        <v>630</v>
      </c>
      <c r="K124" t="s">
        <v>631</v>
      </c>
      <c r="L124">
        <v>1348</v>
      </c>
      <c r="N124">
        <v>1009</v>
      </c>
      <c r="O124" t="s">
        <v>37</v>
      </c>
      <c r="P124" t="s">
        <v>37</v>
      </c>
      <c r="Q124">
        <v>1000</v>
      </c>
      <c r="X124">
        <v>0.00043</v>
      </c>
      <c r="Y124">
        <v>6109.62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0.00043</v>
      </c>
      <c r="AH124">
        <v>2</v>
      </c>
      <c r="AI124">
        <v>51670313</v>
      </c>
      <c r="AJ124">
        <v>131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ROW(Source!A98)</f>
        <v>98</v>
      </c>
      <c r="B125">
        <v>51670322</v>
      </c>
      <c r="C125">
        <v>51670307</v>
      </c>
      <c r="D125">
        <v>270740921</v>
      </c>
      <c r="E125">
        <v>1</v>
      </c>
      <c r="F125">
        <v>1</v>
      </c>
      <c r="G125">
        <v>1</v>
      </c>
      <c r="H125">
        <v>3</v>
      </c>
      <c r="I125" t="s">
        <v>701</v>
      </c>
      <c r="J125" t="s">
        <v>702</v>
      </c>
      <c r="K125" t="s">
        <v>703</v>
      </c>
      <c r="L125">
        <v>1354</v>
      </c>
      <c r="N125">
        <v>1010</v>
      </c>
      <c r="O125" t="s">
        <v>202</v>
      </c>
      <c r="P125" t="s">
        <v>202</v>
      </c>
      <c r="Q125">
        <v>1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G125">
        <v>1</v>
      </c>
      <c r="AH125">
        <v>3</v>
      </c>
      <c r="AI125">
        <v>-1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ROW(Source!A98)</f>
        <v>98</v>
      </c>
      <c r="B126">
        <v>51670323</v>
      </c>
      <c r="C126">
        <v>51670307</v>
      </c>
      <c r="D126">
        <v>270696387</v>
      </c>
      <c r="E126">
        <v>1</v>
      </c>
      <c r="F126">
        <v>1</v>
      </c>
      <c r="G126">
        <v>1</v>
      </c>
      <c r="H126">
        <v>3</v>
      </c>
      <c r="I126" t="s">
        <v>632</v>
      </c>
      <c r="J126" t="s">
        <v>633</v>
      </c>
      <c r="K126" t="s">
        <v>634</v>
      </c>
      <c r="L126">
        <v>1339</v>
      </c>
      <c r="N126">
        <v>1007</v>
      </c>
      <c r="O126" t="s">
        <v>149</v>
      </c>
      <c r="P126" t="s">
        <v>149</v>
      </c>
      <c r="Q126">
        <v>1</v>
      </c>
      <c r="X126">
        <v>0.0003</v>
      </c>
      <c r="Y126">
        <v>481.9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0.0003</v>
      </c>
      <c r="AH126">
        <v>2</v>
      </c>
      <c r="AI126">
        <v>51670314</v>
      </c>
      <c r="AJ126">
        <v>132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ROW(Source!A136)</f>
        <v>136</v>
      </c>
      <c r="B127">
        <v>51672944</v>
      </c>
      <c r="C127">
        <v>51672938</v>
      </c>
      <c r="D127">
        <v>202549185</v>
      </c>
      <c r="E127">
        <v>1</v>
      </c>
      <c r="F127">
        <v>1</v>
      </c>
      <c r="G127">
        <v>1</v>
      </c>
      <c r="H127">
        <v>1</v>
      </c>
      <c r="I127" t="s">
        <v>531</v>
      </c>
      <c r="K127" t="s">
        <v>532</v>
      </c>
      <c r="L127">
        <v>1369</v>
      </c>
      <c r="N127">
        <v>1013</v>
      </c>
      <c r="O127" t="s">
        <v>462</v>
      </c>
      <c r="P127" t="s">
        <v>462</v>
      </c>
      <c r="Q127">
        <v>1</v>
      </c>
      <c r="X127">
        <v>95.94</v>
      </c>
      <c r="Y127">
        <v>0</v>
      </c>
      <c r="Z127">
        <v>0</v>
      </c>
      <c r="AA127">
        <v>0</v>
      </c>
      <c r="AB127">
        <v>16.57</v>
      </c>
      <c r="AC127">
        <v>0</v>
      </c>
      <c r="AD127">
        <v>1</v>
      </c>
      <c r="AE127">
        <v>1</v>
      </c>
      <c r="AF127" t="s">
        <v>140</v>
      </c>
      <c r="AG127">
        <v>137.91375</v>
      </c>
      <c r="AH127">
        <v>2</v>
      </c>
      <c r="AI127">
        <v>51672939</v>
      </c>
      <c r="AJ127">
        <v>134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ROW(Source!A136)</f>
        <v>136</v>
      </c>
      <c r="B128">
        <v>51672945</v>
      </c>
      <c r="C128">
        <v>51672938</v>
      </c>
      <c r="D128">
        <v>270774071</v>
      </c>
      <c r="E128">
        <v>1</v>
      </c>
      <c r="F128">
        <v>1</v>
      </c>
      <c r="G128">
        <v>1</v>
      </c>
      <c r="H128">
        <v>2</v>
      </c>
      <c r="I128" t="s">
        <v>479</v>
      </c>
      <c r="J128" t="s">
        <v>480</v>
      </c>
      <c r="K128" t="s">
        <v>481</v>
      </c>
      <c r="L128">
        <v>1368</v>
      </c>
      <c r="N128">
        <v>1011</v>
      </c>
      <c r="O128" t="s">
        <v>466</v>
      </c>
      <c r="P128" t="s">
        <v>466</v>
      </c>
      <c r="Q128">
        <v>1</v>
      </c>
      <c r="X128">
        <v>0.25</v>
      </c>
      <c r="Y128">
        <v>0</v>
      </c>
      <c r="Z128">
        <v>119.95</v>
      </c>
      <c r="AA128">
        <v>20.99</v>
      </c>
      <c r="AB128">
        <v>0</v>
      </c>
      <c r="AC128">
        <v>0</v>
      </c>
      <c r="AD128">
        <v>1</v>
      </c>
      <c r="AE128">
        <v>0</v>
      </c>
      <c r="AF128" t="s">
        <v>139</v>
      </c>
      <c r="AG128">
        <v>0.390625</v>
      </c>
      <c r="AH128">
        <v>2</v>
      </c>
      <c r="AI128">
        <v>51672940</v>
      </c>
      <c r="AJ128">
        <v>135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ROW(Source!A136)</f>
        <v>136</v>
      </c>
      <c r="B129">
        <v>51672946</v>
      </c>
      <c r="C129">
        <v>51672938</v>
      </c>
      <c r="D129">
        <v>270721866</v>
      </c>
      <c r="E129">
        <v>1</v>
      </c>
      <c r="F129">
        <v>1</v>
      </c>
      <c r="G129">
        <v>1</v>
      </c>
      <c r="H129">
        <v>3</v>
      </c>
      <c r="I129" t="s">
        <v>635</v>
      </c>
      <c r="J129" t="s">
        <v>636</v>
      </c>
      <c r="K129" t="s">
        <v>637</v>
      </c>
      <c r="L129">
        <v>36015243</v>
      </c>
      <c r="N129">
        <v>1005</v>
      </c>
      <c r="O129" t="s">
        <v>182</v>
      </c>
      <c r="P129" t="s">
        <v>184</v>
      </c>
      <c r="Q129">
        <v>1</v>
      </c>
      <c r="X129">
        <v>206</v>
      </c>
      <c r="Y129">
        <v>30.28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206</v>
      </c>
      <c r="AH129">
        <v>2</v>
      </c>
      <c r="AI129">
        <v>51672941</v>
      </c>
      <c r="AJ129">
        <v>136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ROW(Source!A136)</f>
        <v>136</v>
      </c>
      <c r="B130">
        <v>51672947</v>
      </c>
      <c r="C130">
        <v>51672938</v>
      </c>
      <c r="D130">
        <v>270719888</v>
      </c>
      <c r="E130">
        <v>1</v>
      </c>
      <c r="F130">
        <v>1</v>
      </c>
      <c r="G130">
        <v>1</v>
      </c>
      <c r="H130">
        <v>3</v>
      </c>
      <c r="I130" t="s">
        <v>638</v>
      </c>
      <c r="J130" t="s">
        <v>639</v>
      </c>
      <c r="K130" t="s">
        <v>640</v>
      </c>
      <c r="L130">
        <v>1346</v>
      </c>
      <c r="N130">
        <v>1009</v>
      </c>
      <c r="O130" t="s">
        <v>597</v>
      </c>
      <c r="P130" t="s">
        <v>597</v>
      </c>
      <c r="Q130">
        <v>1</v>
      </c>
      <c r="X130">
        <v>7.423</v>
      </c>
      <c r="Y130">
        <v>99.8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7.423</v>
      </c>
      <c r="AH130">
        <v>2</v>
      </c>
      <c r="AI130">
        <v>51672942</v>
      </c>
      <c r="AJ130">
        <v>137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ROW(Source!A136)</f>
        <v>136</v>
      </c>
      <c r="B131">
        <v>51672948</v>
      </c>
      <c r="C131">
        <v>51672938</v>
      </c>
      <c r="D131">
        <v>270733096</v>
      </c>
      <c r="E131">
        <v>1</v>
      </c>
      <c r="F131">
        <v>1</v>
      </c>
      <c r="G131">
        <v>1</v>
      </c>
      <c r="H131">
        <v>3</v>
      </c>
      <c r="I131" t="s">
        <v>641</v>
      </c>
      <c r="J131" t="s">
        <v>642</v>
      </c>
      <c r="K131" t="s">
        <v>643</v>
      </c>
      <c r="L131">
        <v>1348</v>
      </c>
      <c r="N131">
        <v>1009</v>
      </c>
      <c r="O131" t="s">
        <v>37</v>
      </c>
      <c r="P131" t="s">
        <v>37</v>
      </c>
      <c r="Q131">
        <v>1000</v>
      </c>
      <c r="X131">
        <v>0.023</v>
      </c>
      <c r="Y131">
        <v>24058.83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0.023</v>
      </c>
      <c r="AH131">
        <v>2</v>
      </c>
      <c r="AI131">
        <v>51672943</v>
      </c>
      <c r="AJ131">
        <v>138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ROW(Source!A137)</f>
        <v>137</v>
      </c>
      <c r="B132">
        <v>51689582</v>
      </c>
      <c r="C132">
        <v>51689567</v>
      </c>
      <c r="D132">
        <v>202553392</v>
      </c>
      <c r="E132">
        <v>1</v>
      </c>
      <c r="F132">
        <v>1</v>
      </c>
      <c r="G132">
        <v>1</v>
      </c>
      <c r="H132">
        <v>1</v>
      </c>
      <c r="I132" t="s">
        <v>644</v>
      </c>
      <c r="K132" t="s">
        <v>645</v>
      </c>
      <c r="L132">
        <v>1369</v>
      </c>
      <c r="N132">
        <v>1013</v>
      </c>
      <c r="O132" t="s">
        <v>462</v>
      </c>
      <c r="P132" t="s">
        <v>462</v>
      </c>
      <c r="Q132">
        <v>1</v>
      </c>
      <c r="X132">
        <v>22.5</v>
      </c>
      <c r="Y132">
        <v>0</v>
      </c>
      <c r="Z132">
        <v>0</v>
      </c>
      <c r="AA132">
        <v>0</v>
      </c>
      <c r="AB132">
        <v>15.89</v>
      </c>
      <c r="AC132">
        <v>0</v>
      </c>
      <c r="AD132">
        <v>1</v>
      </c>
      <c r="AE132">
        <v>1</v>
      </c>
      <c r="AF132" t="s">
        <v>140</v>
      </c>
      <c r="AG132">
        <v>32.34374999999999</v>
      </c>
      <c r="AH132">
        <v>2</v>
      </c>
      <c r="AI132">
        <v>51689568</v>
      </c>
      <c r="AJ132">
        <v>139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ROW(Source!A137)</f>
        <v>137</v>
      </c>
      <c r="B133">
        <v>51689583</v>
      </c>
      <c r="C133">
        <v>51689567</v>
      </c>
      <c r="D133">
        <v>270773639</v>
      </c>
      <c r="E133">
        <v>1</v>
      </c>
      <c r="F133">
        <v>1</v>
      </c>
      <c r="G133">
        <v>1</v>
      </c>
      <c r="H133">
        <v>2</v>
      </c>
      <c r="I133" t="s">
        <v>545</v>
      </c>
      <c r="J133" t="s">
        <v>546</v>
      </c>
      <c r="K133" t="s">
        <v>547</v>
      </c>
      <c r="L133">
        <v>1368</v>
      </c>
      <c r="N133">
        <v>1011</v>
      </c>
      <c r="O133" t="s">
        <v>466</v>
      </c>
      <c r="P133" t="s">
        <v>466</v>
      </c>
      <c r="Q133">
        <v>1</v>
      </c>
      <c r="X133">
        <v>0.23</v>
      </c>
      <c r="Y133">
        <v>0</v>
      </c>
      <c r="Z133">
        <v>1.97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139</v>
      </c>
      <c r="AG133">
        <v>0.35937500000000006</v>
      </c>
      <c r="AH133">
        <v>2</v>
      </c>
      <c r="AI133">
        <v>51689569</v>
      </c>
      <c r="AJ133">
        <v>140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ROW(Source!A137)</f>
        <v>137</v>
      </c>
      <c r="B134">
        <v>51689584</v>
      </c>
      <c r="C134">
        <v>51689567</v>
      </c>
      <c r="D134">
        <v>270773743</v>
      </c>
      <c r="E134">
        <v>1</v>
      </c>
      <c r="F134">
        <v>1</v>
      </c>
      <c r="G134">
        <v>1</v>
      </c>
      <c r="H134">
        <v>2</v>
      </c>
      <c r="I134" t="s">
        <v>646</v>
      </c>
      <c r="J134" t="s">
        <v>647</v>
      </c>
      <c r="K134" t="s">
        <v>648</v>
      </c>
      <c r="L134">
        <v>1368</v>
      </c>
      <c r="N134">
        <v>1011</v>
      </c>
      <c r="O134" t="s">
        <v>466</v>
      </c>
      <c r="P134" t="s">
        <v>466</v>
      </c>
      <c r="Q134">
        <v>1</v>
      </c>
      <c r="X134">
        <v>0.33</v>
      </c>
      <c r="Y134">
        <v>0</v>
      </c>
      <c r="Z134">
        <v>5.19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139</v>
      </c>
      <c r="AG134">
        <v>0.515625</v>
      </c>
      <c r="AH134">
        <v>2</v>
      </c>
      <c r="AI134">
        <v>51689570</v>
      </c>
      <c r="AJ134">
        <v>141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ROW(Source!A137)</f>
        <v>137</v>
      </c>
      <c r="B135">
        <v>51689585</v>
      </c>
      <c r="C135">
        <v>51689567</v>
      </c>
      <c r="D135">
        <v>270774071</v>
      </c>
      <c r="E135">
        <v>1</v>
      </c>
      <c r="F135">
        <v>1</v>
      </c>
      <c r="G135">
        <v>1</v>
      </c>
      <c r="H135">
        <v>2</v>
      </c>
      <c r="I135" t="s">
        <v>479</v>
      </c>
      <c r="J135" t="s">
        <v>480</v>
      </c>
      <c r="K135" t="s">
        <v>481</v>
      </c>
      <c r="L135">
        <v>1368</v>
      </c>
      <c r="N135">
        <v>1011</v>
      </c>
      <c r="O135" t="s">
        <v>466</v>
      </c>
      <c r="P135" t="s">
        <v>466</v>
      </c>
      <c r="Q135">
        <v>1</v>
      </c>
      <c r="X135">
        <v>0.36</v>
      </c>
      <c r="Y135">
        <v>0</v>
      </c>
      <c r="Z135">
        <v>119.95</v>
      </c>
      <c r="AA135">
        <v>20.99</v>
      </c>
      <c r="AB135">
        <v>0</v>
      </c>
      <c r="AC135">
        <v>0</v>
      </c>
      <c r="AD135">
        <v>1</v>
      </c>
      <c r="AE135">
        <v>0</v>
      </c>
      <c r="AF135" t="s">
        <v>139</v>
      </c>
      <c r="AG135">
        <v>0.5625</v>
      </c>
      <c r="AH135">
        <v>2</v>
      </c>
      <c r="AI135">
        <v>51689571</v>
      </c>
      <c r="AJ135">
        <v>142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ROW(Source!A137)</f>
        <v>137</v>
      </c>
      <c r="B136">
        <v>51689586</v>
      </c>
      <c r="C136">
        <v>51689567</v>
      </c>
      <c r="D136">
        <v>270722362</v>
      </c>
      <c r="E136">
        <v>1</v>
      </c>
      <c r="F136">
        <v>1</v>
      </c>
      <c r="G136">
        <v>1</v>
      </c>
      <c r="H136">
        <v>3</v>
      </c>
      <c r="I136" t="s">
        <v>649</v>
      </c>
      <c r="J136" t="s">
        <v>650</v>
      </c>
      <c r="K136" t="s">
        <v>651</v>
      </c>
      <c r="L136">
        <v>1348</v>
      </c>
      <c r="N136">
        <v>1009</v>
      </c>
      <c r="O136" t="s">
        <v>37</v>
      </c>
      <c r="P136" t="s">
        <v>37</v>
      </c>
      <c r="Q136">
        <v>1000</v>
      </c>
      <c r="X136">
        <v>0.0031</v>
      </c>
      <c r="Y136">
        <v>7008.05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0.0031</v>
      </c>
      <c r="AH136">
        <v>2</v>
      </c>
      <c r="AI136">
        <v>51689572</v>
      </c>
      <c r="AJ136">
        <v>143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ROW(Source!A137)</f>
        <v>137</v>
      </c>
      <c r="B137">
        <v>51689587</v>
      </c>
      <c r="C137">
        <v>51689567</v>
      </c>
      <c r="D137">
        <v>270721034</v>
      </c>
      <c r="E137">
        <v>1</v>
      </c>
      <c r="F137">
        <v>1</v>
      </c>
      <c r="G137">
        <v>1</v>
      </c>
      <c r="H137">
        <v>3</v>
      </c>
      <c r="I137" t="s">
        <v>652</v>
      </c>
      <c r="J137" t="s">
        <v>653</v>
      </c>
      <c r="K137" t="s">
        <v>654</v>
      </c>
      <c r="L137">
        <v>1348</v>
      </c>
      <c r="N137">
        <v>1009</v>
      </c>
      <c r="O137" t="s">
        <v>37</v>
      </c>
      <c r="P137" t="s">
        <v>37</v>
      </c>
      <c r="Q137">
        <v>1000</v>
      </c>
      <c r="X137">
        <v>0.00258</v>
      </c>
      <c r="Y137">
        <v>2206.77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0.00258</v>
      </c>
      <c r="AH137">
        <v>2</v>
      </c>
      <c r="AI137">
        <v>51689573</v>
      </c>
      <c r="AJ137">
        <v>144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ROW(Source!A137)</f>
        <v>137</v>
      </c>
      <c r="B138">
        <v>51689588</v>
      </c>
      <c r="C138">
        <v>51689567</v>
      </c>
      <c r="D138">
        <v>270723899</v>
      </c>
      <c r="E138">
        <v>1</v>
      </c>
      <c r="F138">
        <v>1</v>
      </c>
      <c r="G138">
        <v>1</v>
      </c>
      <c r="H138">
        <v>3</v>
      </c>
      <c r="I138" t="s">
        <v>655</v>
      </c>
      <c r="J138" t="s">
        <v>656</v>
      </c>
      <c r="K138" t="s">
        <v>657</v>
      </c>
      <c r="L138">
        <v>1348</v>
      </c>
      <c r="N138">
        <v>1009</v>
      </c>
      <c r="O138" t="s">
        <v>37</v>
      </c>
      <c r="P138" t="s">
        <v>37</v>
      </c>
      <c r="Q138">
        <v>1000</v>
      </c>
      <c r="X138">
        <v>0.0075</v>
      </c>
      <c r="Y138">
        <v>15629.17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0.0075</v>
      </c>
      <c r="AH138">
        <v>2</v>
      </c>
      <c r="AI138">
        <v>51689574</v>
      </c>
      <c r="AJ138">
        <v>145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ROW(Source!A137)</f>
        <v>137</v>
      </c>
      <c r="B139">
        <v>51689589</v>
      </c>
      <c r="C139">
        <v>51689567</v>
      </c>
      <c r="D139">
        <v>270718009</v>
      </c>
      <c r="E139">
        <v>1</v>
      </c>
      <c r="F139">
        <v>1</v>
      </c>
      <c r="G139">
        <v>1</v>
      </c>
      <c r="H139">
        <v>3</v>
      </c>
      <c r="I139" t="s">
        <v>485</v>
      </c>
      <c r="J139" t="s">
        <v>486</v>
      </c>
      <c r="K139" t="s">
        <v>487</v>
      </c>
      <c r="L139">
        <v>36015243</v>
      </c>
      <c r="N139">
        <v>1005</v>
      </c>
      <c r="O139" t="s">
        <v>182</v>
      </c>
      <c r="P139" t="s">
        <v>184</v>
      </c>
      <c r="Q139">
        <v>1</v>
      </c>
      <c r="X139">
        <v>1.45</v>
      </c>
      <c r="Y139">
        <v>4.6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1.45</v>
      </c>
      <c r="AH139">
        <v>2</v>
      </c>
      <c r="AI139">
        <v>51689575</v>
      </c>
      <c r="AJ139">
        <v>146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ROW(Source!A137)</f>
        <v>137</v>
      </c>
      <c r="B140">
        <v>51689590</v>
      </c>
      <c r="C140">
        <v>51689567</v>
      </c>
      <c r="D140">
        <v>270723982</v>
      </c>
      <c r="E140">
        <v>1</v>
      </c>
      <c r="F140">
        <v>1</v>
      </c>
      <c r="G140">
        <v>1</v>
      </c>
      <c r="H140">
        <v>3</v>
      </c>
      <c r="I140" t="s">
        <v>488</v>
      </c>
      <c r="J140" t="s">
        <v>489</v>
      </c>
      <c r="K140" t="s">
        <v>490</v>
      </c>
      <c r="L140">
        <v>1348</v>
      </c>
      <c r="N140">
        <v>1009</v>
      </c>
      <c r="O140" t="s">
        <v>37</v>
      </c>
      <c r="P140" t="s">
        <v>37</v>
      </c>
      <c r="Q140">
        <v>1000</v>
      </c>
      <c r="X140">
        <v>0.003</v>
      </c>
      <c r="Y140">
        <v>10672.41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0.003</v>
      </c>
      <c r="AH140">
        <v>2</v>
      </c>
      <c r="AI140">
        <v>51689576</v>
      </c>
      <c r="AJ140">
        <v>147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ROW(Source!A137)</f>
        <v>137</v>
      </c>
      <c r="B141">
        <v>51689591</v>
      </c>
      <c r="C141">
        <v>51689567</v>
      </c>
      <c r="D141">
        <v>270725089</v>
      </c>
      <c r="E141">
        <v>1</v>
      </c>
      <c r="F141">
        <v>1</v>
      </c>
      <c r="G141">
        <v>1</v>
      </c>
      <c r="H141">
        <v>3</v>
      </c>
      <c r="I141" t="s">
        <v>278</v>
      </c>
      <c r="J141" t="s">
        <v>280</v>
      </c>
      <c r="K141" t="s">
        <v>279</v>
      </c>
      <c r="L141">
        <v>1339</v>
      </c>
      <c r="N141">
        <v>1007</v>
      </c>
      <c r="O141" t="s">
        <v>149</v>
      </c>
      <c r="P141" t="s">
        <v>149</v>
      </c>
      <c r="Q141">
        <v>1</v>
      </c>
      <c r="X141">
        <v>0.93</v>
      </c>
      <c r="Y141">
        <v>1726.2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0.93</v>
      </c>
      <c r="AH141">
        <v>2</v>
      </c>
      <c r="AI141">
        <v>51689578</v>
      </c>
      <c r="AJ141">
        <v>149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ROW(Source!A137)</f>
        <v>137</v>
      </c>
      <c r="B142">
        <v>51689592</v>
      </c>
      <c r="C142">
        <v>51689567</v>
      </c>
      <c r="D142">
        <v>270725263</v>
      </c>
      <c r="E142">
        <v>1</v>
      </c>
      <c r="F142">
        <v>1</v>
      </c>
      <c r="G142">
        <v>1</v>
      </c>
      <c r="H142">
        <v>3</v>
      </c>
      <c r="I142" t="s">
        <v>607</v>
      </c>
      <c r="J142" t="s">
        <v>608</v>
      </c>
      <c r="K142" t="s">
        <v>609</v>
      </c>
      <c r="L142">
        <v>1339</v>
      </c>
      <c r="N142">
        <v>1007</v>
      </c>
      <c r="O142" t="s">
        <v>149</v>
      </c>
      <c r="P142" t="s">
        <v>149</v>
      </c>
      <c r="Q142">
        <v>1</v>
      </c>
      <c r="X142">
        <v>0.12</v>
      </c>
      <c r="Y142">
        <v>1979.06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0.12</v>
      </c>
      <c r="AH142">
        <v>2</v>
      </c>
      <c r="AI142">
        <v>51689579</v>
      </c>
      <c r="AJ142">
        <v>150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ROW(Source!A137)</f>
        <v>137</v>
      </c>
      <c r="B143">
        <v>51689593</v>
      </c>
      <c r="C143">
        <v>51689567</v>
      </c>
      <c r="D143">
        <v>270725177</v>
      </c>
      <c r="E143">
        <v>1</v>
      </c>
      <c r="F143">
        <v>1</v>
      </c>
      <c r="G143">
        <v>1</v>
      </c>
      <c r="H143">
        <v>3</v>
      </c>
      <c r="I143" t="s">
        <v>658</v>
      </c>
      <c r="J143" t="s">
        <v>659</v>
      </c>
      <c r="K143" t="s">
        <v>660</v>
      </c>
      <c r="L143">
        <v>1339</v>
      </c>
      <c r="N143">
        <v>1007</v>
      </c>
      <c r="O143" t="s">
        <v>149</v>
      </c>
      <c r="P143" t="s">
        <v>149</v>
      </c>
      <c r="Q143">
        <v>1</v>
      </c>
      <c r="X143">
        <v>0.01</v>
      </c>
      <c r="Y143">
        <v>780.15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0.01</v>
      </c>
      <c r="AH143">
        <v>2</v>
      </c>
      <c r="AI143">
        <v>51689580</v>
      </c>
      <c r="AJ143">
        <v>151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ROW(Source!A137)</f>
        <v>137</v>
      </c>
      <c r="B144">
        <v>51689594</v>
      </c>
      <c r="C144">
        <v>51689567</v>
      </c>
      <c r="D144">
        <v>270733083</v>
      </c>
      <c r="E144">
        <v>1</v>
      </c>
      <c r="F144">
        <v>1</v>
      </c>
      <c r="G144">
        <v>1</v>
      </c>
      <c r="H144">
        <v>3</v>
      </c>
      <c r="I144" t="s">
        <v>491</v>
      </c>
      <c r="J144" t="s">
        <v>492</v>
      </c>
      <c r="K144" t="s">
        <v>493</v>
      </c>
      <c r="L144">
        <v>1348</v>
      </c>
      <c r="N144">
        <v>1009</v>
      </c>
      <c r="O144" t="s">
        <v>37</v>
      </c>
      <c r="P144" t="s">
        <v>37</v>
      </c>
      <c r="Q144">
        <v>1000</v>
      </c>
      <c r="X144">
        <v>0.00301</v>
      </c>
      <c r="Y144">
        <v>9903.12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0.00301</v>
      </c>
      <c r="AH144">
        <v>2</v>
      </c>
      <c r="AI144">
        <v>51689581</v>
      </c>
      <c r="AJ144">
        <v>152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ROW(Source!A140)</f>
        <v>140</v>
      </c>
      <c r="B145">
        <v>51672983</v>
      </c>
      <c r="C145">
        <v>51672976</v>
      </c>
      <c r="D145">
        <v>202543279</v>
      </c>
      <c r="E145">
        <v>1</v>
      </c>
      <c r="F145">
        <v>1</v>
      </c>
      <c r="G145">
        <v>1</v>
      </c>
      <c r="H145">
        <v>1</v>
      </c>
      <c r="I145" t="s">
        <v>624</v>
      </c>
      <c r="K145" t="s">
        <v>625</v>
      </c>
      <c r="L145">
        <v>1369</v>
      </c>
      <c r="N145">
        <v>1013</v>
      </c>
      <c r="O145" t="s">
        <v>462</v>
      </c>
      <c r="P145" t="s">
        <v>462</v>
      </c>
      <c r="Q145">
        <v>1</v>
      </c>
      <c r="X145">
        <v>28.38</v>
      </c>
      <c r="Y145">
        <v>0</v>
      </c>
      <c r="Z145">
        <v>0</v>
      </c>
      <c r="AA145">
        <v>0</v>
      </c>
      <c r="AB145">
        <v>17</v>
      </c>
      <c r="AC145">
        <v>0</v>
      </c>
      <c r="AD145">
        <v>1</v>
      </c>
      <c r="AE145">
        <v>1</v>
      </c>
      <c r="AF145" t="s">
        <v>140</v>
      </c>
      <c r="AG145">
        <v>40.79624999999999</v>
      </c>
      <c r="AH145">
        <v>2</v>
      </c>
      <c r="AI145">
        <v>51672977</v>
      </c>
      <c r="AJ145">
        <v>153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ROW(Source!A140)</f>
        <v>140</v>
      </c>
      <c r="B146">
        <v>51672984</v>
      </c>
      <c r="C146">
        <v>51672976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26</v>
      </c>
      <c r="K146" t="s">
        <v>469</v>
      </c>
      <c r="L146">
        <v>608254</v>
      </c>
      <c r="N146">
        <v>1013</v>
      </c>
      <c r="O146" t="s">
        <v>470</v>
      </c>
      <c r="P146" t="s">
        <v>470</v>
      </c>
      <c r="Q146">
        <v>1</v>
      </c>
      <c r="X146">
        <v>0.18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139</v>
      </c>
      <c r="AG146">
        <v>0.28125</v>
      </c>
      <c r="AH146">
        <v>2</v>
      </c>
      <c r="AI146">
        <v>51672978</v>
      </c>
      <c r="AJ146">
        <v>154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ROW(Source!A140)</f>
        <v>140</v>
      </c>
      <c r="B147">
        <v>51672985</v>
      </c>
      <c r="C147">
        <v>51672976</v>
      </c>
      <c r="D147">
        <v>270771644</v>
      </c>
      <c r="E147">
        <v>1</v>
      </c>
      <c r="F147">
        <v>1</v>
      </c>
      <c r="G147">
        <v>1</v>
      </c>
      <c r="H147">
        <v>2</v>
      </c>
      <c r="I147" t="s">
        <v>497</v>
      </c>
      <c r="J147" t="s">
        <v>498</v>
      </c>
      <c r="K147" t="s">
        <v>499</v>
      </c>
      <c r="L147">
        <v>1368</v>
      </c>
      <c r="N147">
        <v>1011</v>
      </c>
      <c r="O147" t="s">
        <v>466</v>
      </c>
      <c r="P147" t="s">
        <v>466</v>
      </c>
      <c r="Q147">
        <v>1</v>
      </c>
      <c r="X147">
        <v>0.18</v>
      </c>
      <c r="Y147">
        <v>0</v>
      </c>
      <c r="Z147">
        <v>41.7</v>
      </c>
      <c r="AA147">
        <v>24.53</v>
      </c>
      <c r="AB147">
        <v>0</v>
      </c>
      <c r="AC147">
        <v>0</v>
      </c>
      <c r="AD147">
        <v>1</v>
      </c>
      <c r="AE147">
        <v>0</v>
      </c>
      <c r="AF147" t="s">
        <v>139</v>
      </c>
      <c r="AG147">
        <v>0.28125</v>
      </c>
      <c r="AH147">
        <v>2</v>
      </c>
      <c r="AI147">
        <v>51672979</v>
      </c>
      <c r="AJ147">
        <v>155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ROW(Source!A140)</f>
        <v>140</v>
      </c>
      <c r="B148">
        <v>51672986</v>
      </c>
      <c r="C148">
        <v>51672976</v>
      </c>
      <c r="D148">
        <v>270774071</v>
      </c>
      <c r="E148">
        <v>1</v>
      </c>
      <c r="F148">
        <v>1</v>
      </c>
      <c r="G148">
        <v>1</v>
      </c>
      <c r="H148">
        <v>2</v>
      </c>
      <c r="I148" t="s">
        <v>479</v>
      </c>
      <c r="J148" t="s">
        <v>480</v>
      </c>
      <c r="K148" t="s">
        <v>481</v>
      </c>
      <c r="L148">
        <v>1368</v>
      </c>
      <c r="N148">
        <v>1011</v>
      </c>
      <c r="O148" t="s">
        <v>466</v>
      </c>
      <c r="P148" t="s">
        <v>466</v>
      </c>
      <c r="Q148">
        <v>1</v>
      </c>
      <c r="X148">
        <v>0.98</v>
      </c>
      <c r="Y148">
        <v>0</v>
      </c>
      <c r="Z148">
        <v>119.95</v>
      </c>
      <c r="AA148">
        <v>20.99</v>
      </c>
      <c r="AB148">
        <v>0</v>
      </c>
      <c r="AC148">
        <v>0</v>
      </c>
      <c r="AD148">
        <v>1</v>
      </c>
      <c r="AE148">
        <v>0</v>
      </c>
      <c r="AF148" t="s">
        <v>139</v>
      </c>
      <c r="AG148">
        <v>1.53125</v>
      </c>
      <c r="AH148">
        <v>2</v>
      </c>
      <c r="AI148">
        <v>51672980</v>
      </c>
      <c r="AJ148">
        <v>156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ROW(Source!A140)</f>
        <v>140</v>
      </c>
      <c r="B149">
        <v>51672987</v>
      </c>
      <c r="C149">
        <v>51672976</v>
      </c>
      <c r="D149">
        <v>270728330</v>
      </c>
      <c r="E149">
        <v>1</v>
      </c>
      <c r="F149">
        <v>1</v>
      </c>
      <c r="G149">
        <v>1</v>
      </c>
      <c r="H149">
        <v>3</v>
      </c>
      <c r="I149" t="s">
        <v>289</v>
      </c>
      <c r="J149" t="s">
        <v>291</v>
      </c>
      <c r="K149" t="s">
        <v>290</v>
      </c>
      <c r="L149">
        <v>1339</v>
      </c>
      <c r="N149">
        <v>1007</v>
      </c>
      <c r="O149" t="s">
        <v>149</v>
      </c>
      <c r="P149" t="s">
        <v>149</v>
      </c>
      <c r="Q149">
        <v>1</v>
      </c>
      <c r="X149">
        <v>4.12</v>
      </c>
      <c r="Y149">
        <v>490.28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4.12</v>
      </c>
      <c r="AH149">
        <v>2</v>
      </c>
      <c r="AI149">
        <v>51672981</v>
      </c>
      <c r="AJ149">
        <v>157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ROW(Source!A143)</f>
        <v>143</v>
      </c>
      <c r="B150">
        <v>51672999</v>
      </c>
      <c r="C150">
        <v>51672990</v>
      </c>
      <c r="D150">
        <v>202548993</v>
      </c>
      <c r="E150">
        <v>1</v>
      </c>
      <c r="F150">
        <v>1</v>
      </c>
      <c r="G150">
        <v>1</v>
      </c>
      <c r="H150">
        <v>1</v>
      </c>
      <c r="I150" t="s">
        <v>474</v>
      </c>
      <c r="K150" t="s">
        <v>475</v>
      </c>
      <c r="L150">
        <v>1369</v>
      </c>
      <c r="N150">
        <v>1013</v>
      </c>
      <c r="O150" t="s">
        <v>462</v>
      </c>
      <c r="P150" t="s">
        <v>462</v>
      </c>
      <c r="Q150">
        <v>1</v>
      </c>
      <c r="X150">
        <v>60.72</v>
      </c>
      <c r="Y150">
        <v>0</v>
      </c>
      <c r="Z150">
        <v>0</v>
      </c>
      <c r="AA150">
        <v>0</v>
      </c>
      <c r="AB150">
        <v>16.17</v>
      </c>
      <c r="AC150">
        <v>0</v>
      </c>
      <c r="AD150">
        <v>1</v>
      </c>
      <c r="AE150">
        <v>1</v>
      </c>
      <c r="AF150" t="s">
        <v>140</v>
      </c>
      <c r="AG150">
        <v>87.28499999999998</v>
      </c>
      <c r="AH150">
        <v>2</v>
      </c>
      <c r="AI150">
        <v>51672991</v>
      </c>
      <c r="AJ150">
        <v>159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ROW(Source!A143)</f>
        <v>143</v>
      </c>
      <c r="B151">
        <v>51673000</v>
      </c>
      <c r="C151">
        <v>51672990</v>
      </c>
      <c r="D151">
        <v>121548</v>
      </c>
      <c r="E151">
        <v>1</v>
      </c>
      <c r="F151">
        <v>1</v>
      </c>
      <c r="G151">
        <v>1</v>
      </c>
      <c r="H151">
        <v>1</v>
      </c>
      <c r="I151" t="s">
        <v>26</v>
      </c>
      <c r="K151" t="s">
        <v>469</v>
      </c>
      <c r="L151">
        <v>608254</v>
      </c>
      <c r="N151">
        <v>1013</v>
      </c>
      <c r="O151" t="s">
        <v>470</v>
      </c>
      <c r="P151" t="s">
        <v>470</v>
      </c>
      <c r="Q151">
        <v>1</v>
      </c>
      <c r="X151">
        <v>0.58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2</v>
      </c>
      <c r="AF151" t="s">
        <v>139</v>
      </c>
      <c r="AG151">
        <v>0.90625</v>
      </c>
      <c r="AH151">
        <v>2</v>
      </c>
      <c r="AI151">
        <v>51672992</v>
      </c>
      <c r="AJ151">
        <v>160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ROW(Source!A143)</f>
        <v>143</v>
      </c>
      <c r="B152">
        <v>51673001</v>
      </c>
      <c r="C152">
        <v>51672990</v>
      </c>
      <c r="D152">
        <v>270771644</v>
      </c>
      <c r="E152">
        <v>1</v>
      </c>
      <c r="F152">
        <v>1</v>
      </c>
      <c r="G152">
        <v>1</v>
      </c>
      <c r="H152">
        <v>2</v>
      </c>
      <c r="I152" t="s">
        <v>497</v>
      </c>
      <c r="J152" t="s">
        <v>498</v>
      </c>
      <c r="K152" t="s">
        <v>499</v>
      </c>
      <c r="L152">
        <v>1368</v>
      </c>
      <c r="N152">
        <v>1011</v>
      </c>
      <c r="O152" t="s">
        <v>466</v>
      </c>
      <c r="P152" t="s">
        <v>466</v>
      </c>
      <c r="Q152">
        <v>1</v>
      </c>
      <c r="X152">
        <v>0.58</v>
      </c>
      <c r="Y152">
        <v>0</v>
      </c>
      <c r="Z152">
        <v>41.7</v>
      </c>
      <c r="AA152">
        <v>24.53</v>
      </c>
      <c r="AB152">
        <v>0</v>
      </c>
      <c r="AC152">
        <v>0</v>
      </c>
      <c r="AD152">
        <v>1</v>
      </c>
      <c r="AE152">
        <v>0</v>
      </c>
      <c r="AF152" t="s">
        <v>139</v>
      </c>
      <c r="AG152">
        <v>0.90625</v>
      </c>
      <c r="AH152">
        <v>2</v>
      </c>
      <c r="AI152">
        <v>51672993</v>
      </c>
      <c r="AJ152">
        <v>161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ROW(Source!A143)</f>
        <v>143</v>
      </c>
      <c r="B153">
        <v>51673002</v>
      </c>
      <c r="C153">
        <v>51672990</v>
      </c>
      <c r="D153">
        <v>270773735</v>
      </c>
      <c r="E153">
        <v>1</v>
      </c>
      <c r="F153">
        <v>1</v>
      </c>
      <c r="G153">
        <v>1</v>
      </c>
      <c r="H153">
        <v>2</v>
      </c>
      <c r="I153" t="s">
        <v>551</v>
      </c>
      <c r="J153" t="s">
        <v>552</v>
      </c>
      <c r="K153" t="s">
        <v>553</v>
      </c>
      <c r="L153">
        <v>1368</v>
      </c>
      <c r="N153">
        <v>1011</v>
      </c>
      <c r="O153" t="s">
        <v>466</v>
      </c>
      <c r="P153" t="s">
        <v>466</v>
      </c>
      <c r="Q153">
        <v>1</v>
      </c>
      <c r="X153">
        <v>0.82</v>
      </c>
      <c r="Y153">
        <v>0</v>
      </c>
      <c r="Z153">
        <v>0.98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139</v>
      </c>
      <c r="AG153">
        <v>1.28125</v>
      </c>
      <c r="AH153">
        <v>2</v>
      </c>
      <c r="AI153">
        <v>51672994</v>
      </c>
      <c r="AJ153">
        <v>162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ROW(Source!A143)</f>
        <v>143</v>
      </c>
      <c r="B154">
        <v>51673003</v>
      </c>
      <c r="C154">
        <v>51672990</v>
      </c>
      <c r="D154">
        <v>270773807</v>
      </c>
      <c r="E154">
        <v>1</v>
      </c>
      <c r="F154">
        <v>1</v>
      </c>
      <c r="G154">
        <v>1</v>
      </c>
      <c r="H154">
        <v>2</v>
      </c>
      <c r="I154" t="s">
        <v>661</v>
      </c>
      <c r="J154" t="s">
        <v>662</v>
      </c>
      <c r="K154" t="s">
        <v>663</v>
      </c>
      <c r="L154">
        <v>1368</v>
      </c>
      <c r="N154">
        <v>1011</v>
      </c>
      <c r="O154" t="s">
        <v>466</v>
      </c>
      <c r="P154" t="s">
        <v>466</v>
      </c>
      <c r="Q154">
        <v>1</v>
      </c>
      <c r="X154">
        <v>2.7</v>
      </c>
      <c r="Y154">
        <v>0</v>
      </c>
      <c r="Z154">
        <v>2.15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139</v>
      </c>
      <c r="AG154">
        <v>4.21875</v>
      </c>
      <c r="AH154">
        <v>2</v>
      </c>
      <c r="AI154">
        <v>51672995</v>
      </c>
      <c r="AJ154">
        <v>163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ROW(Source!A143)</f>
        <v>143</v>
      </c>
      <c r="B155">
        <v>51673004</v>
      </c>
      <c r="C155">
        <v>51672990</v>
      </c>
      <c r="D155">
        <v>270774071</v>
      </c>
      <c r="E155">
        <v>1</v>
      </c>
      <c r="F155">
        <v>1</v>
      </c>
      <c r="G155">
        <v>1</v>
      </c>
      <c r="H155">
        <v>2</v>
      </c>
      <c r="I155" t="s">
        <v>479</v>
      </c>
      <c r="J155" t="s">
        <v>480</v>
      </c>
      <c r="K155" t="s">
        <v>481</v>
      </c>
      <c r="L155">
        <v>1368</v>
      </c>
      <c r="N155">
        <v>1011</v>
      </c>
      <c r="O155" t="s">
        <v>466</v>
      </c>
      <c r="P155" t="s">
        <v>466</v>
      </c>
      <c r="Q155">
        <v>1</v>
      </c>
      <c r="X155">
        <v>0.84</v>
      </c>
      <c r="Y155">
        <v>0</v>
      </c>
      <c r="Z155">
        <v>119.95</v>
      </c>
      <c r="AA155">
        <v>20.99</v>
      </c>
      <c r="AB155">
        <v>0</v>
      </c>
      <c r="AC155">
        <v>0</v>
      </c>
      <c r="AD155">
        <v>1</v>
      </c>
      <c r="AE155">
        <v>0</v>
      </c>
      <c r="AF155" t="s">
        <v>139</v>
      </c>
      <c r="AG155">
        <v>1.3125</v>
      </c>
      <c r="AH155">
        <v>2</v>
      </c>
      <c r="AI155">
        <v>51672996</v>
      </c>
      <c r="AJ155">
        <v>164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ROW(Source!A143)</f>
        <v>143</v>
      </c>
      <c r="B156">
        <v>51673005</v>
      </c>
      <c r="C156">
        <v>51672990</v>
      </c>
      <c r="D156">
        <v>270723982</v>
      </c>
      <c r="E156">
        <v>1</v>
      </c>
      <c r="F156">
        <v>1</v>
      </c>
      <c r="G156">
        <v>1</v>
      </c>
      <c r="H156">
        <v>3</v>
      </c>
      <c r="I156" t="s">
        <v>488</v>
      </c>
      <c r="J156" t="s">
        <v>489</v>
      </c>
      <c r="K156" t="s">
        <v>490</v>
      </c>
      <c r="L156">
        <v>1348</v>
      </c>
      <c r="N156">
        <v>1009</v>
      </c>
      <c r="O156" t="s">
        <v>37</v>
      </c>
      <c r="P156" t="s">
        <v>37</v>
      </c>
      <c r="Q156">
        <v>1000</v>
      </c>
      <c r="X156">
        <v>0.0123</v>
      </c>
      <c r="Y156">
        <v>10672.41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0.0123</v>
      </c>
      <c r="AH156">
        <v>2</v>
      </c>
      <c r="AI156">
        <v>51672997</v>
      </c>
      <c r="AJ156">
        <v>165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ROW(Source!A143)</f>
        <v>143</v>
      </c>
      <c r="B157">
        <v>51673006</v>
      </c>
      <c r="C157">
        <v>51672990</v>
      </c>
      <c r="D157">
        <v>270712794</v>
      </c>
      <c r="E157">
        <v>1</v>
      </c>
      <c r="F157">
        <v>1</v>
      </c>
      <c r="G157">
        <v>1</v>
      </c>
      <c r="H157">
        <v>3</v>
      </c>
      <c r="I157" t="s">
        <v>664</v>
      </c>
      <c r="J157" t="s">
        <v>665</v>
      </c>
      <c r="K157" t="s">
        <v>666</v>
      </c>
      <c r="L157">
        <v>1339</v>
      </c>
      <c r="N157">
        <v>1007</v>
      </c>
      <c r="O157" t="s">
        <v>149</v>
      </c>
      <c r="P157" t="s">
        <v>149</v>
      </c>
      <c r="Q157">
        <v>1</v>
      </c>
      <c r="X157">
        <v>2.88</v>
      </c>
      <c r="Y157">
        <v>1941.16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2.88</v>
      </c>
      <c r="AH157">
        <v>2</v>
      </c>
      <c r="AI157">
        <v>51672998</v>
      </c>
      <c r="AJ157">
        <v>166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ROW(Source!A178)</f>
        <v>178</v>
      </c>
      <c r="B158">
        <v>51670348</v>
      </c>
      <c r="C158">
        <v>51670325</v>
      </c>
      <c r="D158">
        <v>202548993</v>
      </c>
      <c r="E158">
        <v>1</v>
      </c>
      <c r="F158">
        <v>1</v>
      </c>
      <c r="G158">
        <v>1</v>
      </c>
      <c r="H158">
        <v>1</v>
      </c>
      <c r="I158" t="s">
        <v>474</v>
      </c>
      <c r="K158" t="s">
        <v>475</v>
      </c>
      <c r="L158">
        <v>1369</v>
      </c>
      <c r="N158">
        <v>1013</v>
      </c>
      <c r="O158" t="s">
        <v>462</v>
      </c>
      <c r="P158" t="s">
        <v>462</v>
      </c>
      <c r="Q158">
        <v>1</v>
      </c>
      <c r="X158">
        <v>31.41</v>
      </c>
      <c r="Y158">
        <v>0</v>
      </c>
      <c r="Z158">
        <v>0</v>
      </c>
      <c r="AA158">
        <v>0</v>
      </c>
      <c r="AB158">
        <v>16.17</v>
      </c>
      <c r="AC158">
        <v>0</v>
      </c>
      <c r="AD158">
        <v>1</v>
      </c>
      <c r="AE158">
        <v>1</v>
      </c>
      <c r="AF158" t="s">
        <v>140</v>
      </c>
      <c r="AG158">
        <v>45.151875</v>
      </c>
      <c r="AH158">
        <v>2</v>
      </c>
      <c r="AI158">
        <v>51670326</v>
      </c>
      <c r="AJ158">
        <v>167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ROW(Source!A178)</f>
        <v>178</v>
      </c>
      <c r="B159">
        <v>51670349</v>
      </c>
      <c r="C159">
        <v>51670325</v>
      </c>
      <c r="D159">
        <v>121548</v>
      </c>
      <c r="E159">
        <v>1</v>
      </c>
      <c r="F159">
        <v>1</v>
      </c>
      <c r="G159">
        <v>1</v>
      </c>
      <c r="H159">
        <v>1</v>
      </c>
      <c r="I159" t="s">
        <v>26</v>
      </c>
      <c r="K159" t="s">
        <v>469</v>
      </c>
      <c r="L159">
        <v>608254</v>
      </c>
      <c r="N159">
        <v>1013</v>
      </c>
      <c r="O159" t="s">
        <v>470</v>
      </c>
      <c r="P159" t="s">
        <v>470</v>
      </c>
      <c r="Q159">
        <v>1</v>
      </c>
      <c r="X159">
        <v>0.16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139</v>
      </c>
      <c r="AG159">
        <v>0.25</v>
      </c>
      <c r="AH159">
        <v>2</v>
      </c>
      <c r="AI159">
        <v>51670327</v>
      </c>
      <c r="AJ159">
        <v>168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ROW(Source!A178)</f>
        <v>178</v>
      </c>
      <c r="B160">
        <v>51670350</v>
      </c>
      <c r="C160">
        <v>51670325</v>
      </c>
      <c r="D160">
        <v>270771356</v>
      </c>
      <c r="E160">
        <v>1</v>
      </c>
      <c r="F160">
        <v>1</v>
      </c>
      <c r="G160">
        <v>1</v>
      </c>
      <c r="H160">
        <v>2</v>
      </c>
      <c r="I160" t="s">
        <v>471</v>
      </c>
      <c r="J160" t="s">
        <v>472</v>
      </c>
      <c r="K160" t="s">
        <v>473</v>
      </c>
      <c r="L160">
        <v>1368</v>
      </c>
      <c r="N160">
        <v>1011</v>
      </c>
      <c r="O160" t="s">
        <v>466</v>
      </c>
      <c r="P160" t="s">
        <v>466</v>
      </c>
      <c r="Q160">
        <v>1</v>
      </c>
      <c r="X160">
        <v>0.11</v>
      </c>
      <c r="Y160">
        <v>0</v>
      </c>
      <c r="Z160">
        <v>98.9</v>
      </c>
      <c r="AA160">
        <v>24.53</v>
      </c>
      <c r="AB160">
        <v>0</v>
      </c>
      <c r="AC160">
        <v>0</v>
      </c>
      <c r="AD160">
        <v>1</v>
      </c>
      <c r="AE160">
        <v>0</v>
      </c>
      <c r="AF160" t="s">
        <v>139</v>
      </c>
      <c r="AG160">
        <v>0.171875</v>
      </c>
      <c r="AH160">
        <v>2</v>
      </c>
      <c r="AI160">
        <v>51670328</v>
      </c>
      <c r="AJ160">
        <v>169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ROW(Source!A178)</f>
        <v>178</v>
      </c>
      <c r="B161">
        <v>51670351</v>
      </c>
      <c r="C161">
        <v>51670325</v>
      </c>
      <c r="D161">
        <v>270771467</v>
      </c>
      <c r="E161">
        <v>1</v>
      </c>
      <c r="F161">
        <v>1</v>
      </c>
      <c r="G161">
        <v>1</v>
      </c>
      <c r="H161">
        <v>2</v>
      </c>
      <c r="I161" t="s">
        <v>476</v>
      </c>
      <c r="J161" t="s">
        <v>477</v>
      </c>
      <c r="K161" t="s">
        <v>478</v>
      </c>
      <c r="L161">
        <v>1368</v>
      </c>
      <c r="N161">
        <v>1011</v>
      </c>
      <c r="O161" t="s">
        <v>466</v>
      </c>
      <c r="P161" t="s">
        <v>466</v>
      </c>
      <c r="Q161">
        <v>1</v>
      </c>
      <c r="X161">
        <v>0.05</v>
      </c>
      <c r="Y161">
        <v>0</v>
      </c>
      <c r="Z161">
        <v>125.73</v>
      </c>
      <c r="AA161">
        <v>24.53</v>
      </c>
      <c r="AB161">
        <v>0</v>
      </c>
      <c r="AC161">
        <v>0</v>
      </c>
      <c r="AD161">
        <v>1</v>
      </c>
      <c r="AE161">
        <v>0</v>
      </c>
      <c r="AF161" t="s">
        <v>139</v>
      </c>
      <c r="AG161">
        <v>0.078125</v>
      </c>
      <c r="AH161">
        <v>2</v>
      </c>
      <c r="AI161">
        <v>51670329</v>
      </c>
      <c r="AJ161">
        <v>170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ROW(Source!A178)</f>
        <v>178</v>
      </c>
      <c r="B162">
        <v>51670352</v>
      </c>
      <c r="C162">
        <v>51670325</v>
      </c>
      <c r="D162">
        <v>270774071</v>
      </c>
      <c r="E162">
        <v>1</v>
      </c>
      <c r="F162">
        <v>1</v>
      </c>
      <c r="G162">
        <v>1</v>
      </c>
      <c r="H162">
        <v>2</v>
      </c>
      <c r="I162" t="s">
        <v>479</v>
      </c>
      <c r="J162" t="s">
        <v>480</v>
      </c>
      <c r="K162" t="s">
        <v>481</v>
      </c>
      <c r="L162">
        <v>1368</v>
      </c>
      <c r="N162">
        <v>1011</v>
      </c>
      <c r="O162" t="s">
        <v>466</v>
      </c>
      <c r="P162" t="s">
        <v>466</v>
      </c>
      <c r="Q162">
        <v>1</v>
      </c>
      <c r="X162">
        <v>0.09</v>
      </c>
      <c r="Y162">
        <v>0</v>
      </c>
      <c r="Z162">
        <v>119.95</v>
      </c>
      <c r="AA162">
        <v>20.99</v>
      </c>
      <c r="AB162">
        <v>0</v>
      </c>
      <c r="AC162">
        <v>0</v>
      </c>
      <c r="AD162">
        <v>1</v>
      </c>
      <c r="AE162">
        <v>0</v>
      </c>
      <c r="AF162" t="s">
        <v>139</v>
      </c>
      <c r="AG162">
        <v>0.140625</v>
      </c>
      <c r="AH162">
        <v>2</v>
      </c>
      <c r="AI162">
        <v>51670330</v>
      </c>
      <c r="AJ162">
        <v>171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ROW(Source!A178)</f>
        <v>178</v>
      </c>
      <c r="B163">
        <v>51670353</v>
      </c>
      <c r="C163">
        <v>51670325</v>
      </c>
      <c r="D163">
        <v>270724025</v>
      </c>
      <c r="E163">
        <v>1</v>
      </c>
      <c r="F163">
        <v>1</v>
      </c>
      <c r="G163">
        <v>1</v>
      </c>
      <c r="H163">
        <v>3</v>
      </c>
      <c r="I163" t="s">
        <v>542</v>
      </c>
      <c r="J163" t="s">
        <v>543</v>
      </c>
      <c r="K163" t="s">
        <v>544</v>
      </c>
      <c r="L163">
        <v>1348</v>
      </c>
      <c r="N163">
        <v>1009</v>
      </c>
      <c r="O163" t="s">
        <v>37</v>
      </c>
      <c r="P163" t="s">
        <v>37</v>
      </c>
      <c r="Q163">
        <v>1000</v>
      </c>
      <c r="X163">
        <v>0.0038</v>
      </c>
      <c r="Y163">
        <v>9042.8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0.0038</v>
      </c>
      <c r="AH163">
        <v>2</v>
      </c>
      <c r="AI163">
        <v>51670331</v>
      </c>
      <c r="AJ163">
        <v>172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ROW(Source!A178)</f>
        <v>178</v>
      </c>
      <c r="B164">
        <v>51670354</v>
      </c>
      <c r="C164">
        <v>51670325</v>
      </c>
      <c r="D164">
        <v>270722368</v>
      </c>
      <c r="E164">
        <v>1</v>
      </c>
      <c r="F164">
        <v>1</v>
      </c>
      <c r="G164">
        <v>1</v>
      </c>
      <c r="H164">
        <v>3</v>
      </c>
      <c r="I164" t="s">
        <v>667</v>
      </c>
      <c r="J164" t="s">
        <v>668</v>
      </c>
      <c r="K164" t="s">
        <v>669</v>
      </c>
      <c r="L164">
        <v>1348</v>
      </c>
      <c r="N164">
        <v>1009</v>
      </c>
      <c r="O164" t="s">
        <v>37</v>
      </c>
      <c r="P164" t="s">
        <v>37</v>
      </c>
      <c r="Q164">
        <v>1000</v>
      </c>
      <c r="X164">
        <v>0.169</v>
      </c>
      <c r="Y164">
        <v>10207.56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0.169</v>
      </c>
      <c r="AH164">
        <v>2</v>
      </c>
      <c r="AI164">
        <v>51670332</v>
      </c>
      <c r="AJ164">
        <v>173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ROW(Source!A178)</f>
        <v>178</v>
      </c>
      <c r="B165">
        <v>51670355</v>
      </c>
      <c r="C165">
        <v>51670325</v>
      </c>
      <c r="D165">
        <v>270722834</v>
      </c>
      <c r="E165">
        <v>1</v>
      </c>
      <c r="F165">
        <v>1</v>
      </c>
      <c r="G165">
        <v>1</v>
      </c>
      <c r="H165">
        <v>3</v>
      </c>
      <c r="I165" t="s">
        <v>343</v>
      </c>
      <c r="J165" t="s">
        <v>345</v>
      </c>
      <c r="K165" t="s">
        <v>344</v>
      </c>
      <c r="L165">
        <v>1348</v>
      </c>
      <c r="N165">
        <v>1009</v>
      </c>
      <c r="O165" t="s">
        <v>37</v>
      </c>
      <c r="P165" t="s">
        <v>37</v>
      </c>
      <c r="Q165">
        <v>1000</v>
      </c>
      <c r="X165">
        <v>0.452</v>
      </c>
      <c r="Y165">
        <v>9696.76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0.452</v>
      </c>
      <c r="AH165">
        <v>2</v>
      </c>
      <c r="AI165">
        <v>51670333</v>
      </c>
      <c r="AJ165">
        <v>174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ROW(Source!A194)</f>
        <v>194</v>
      </c>
      <c r="B166">
        <v>51670382</v>
      </c>
      <c r="C166">
        <v>51670371</v>
      </c>
      <c r="D166">
        <v>202542786</v>
      </c>
      <c r="E166">
        <v>1</v>
      </c>
      <c r="F166">
        <v>1</v>
      </c>
      <c r="G166">
        <v>1</v>
      </c>
      <c r="H166">
        <v>1</v>
      </c>
      <c r="I166" t="s">
        <v>670</v>
      </c>
      <c r="K166" t="s">
        <v>671</v>
      </c>
      <c r="L166">
        <v>1369</v>
      </c>
      <c r="N166">
        <v>1013</v>
      </c>
      <c r="O166" t="s">
        <v>462</v>
      </c>
      <c r="P166" t="s">
        <v>462</v>
      </c>
      <c r="Q166">
        <v>1</v>
      </c>
      <c r="X166">
        <v>2.94</v>
      </c>
      <c r="Y166">
        <v>0</v>
      </c>
      <c r="Z166">
        <v>0</v>
      </c>
      <c r="AA166">
        <v>0</v>
      </c>
      <c r="AB166">
        <v>18.51</v>
      </c>
      <c r="AC166">
        <v>0</v>
      </c>
      <c r="AD166">
        <v>1</v>
      </c>
      <c r="AE166">
        <v>1</v>
      </c>
      <c r="AF166" t="s">
        <v>140</v>
      </c>
      <c r="AG166">
        <v>4.226249999999999</v>
      </c>
      <c r="AH166">
        <v>2</v>
      </c>
      <c r="AI166">
        <v>51670372</v>
      </c>
      <c r="AJ166">
        <v>189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ROW(Source!A194)</f>
        <v>194</v>
      </c>
      <c r="B167">
        <v>51670383</v>
      </c>
      <c r="C167">
        <v>51670371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26</v>
      </c>
      <c r="K167" t="s">
        <v>469</v>
      </c>
      <c r="L167">
        <v>608254</v>
      </c>
      <c r="N167">
        <v>1013</v>
      </c>
      <c r="O167" t="s">
        <v>470</v>
      </c>
      <c r="P167" t="s">
        <v>470</v>
      </c>
      <c r="Q167">
        <v>1</v>
      </c>
      <c r="X167">
        <v>0.01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2</v>
      </c>
      <c r="AF167" t="s">
        <v>139</v>
      </c>
      <c r="AG167">
        <v>0.015625</v>
      </c>
      <c r="AH167">
        <v>2</v>
      </c>
      <c r="AI167">
        <v>51670373</v>
      </c>
      <c r="AJ167">
        <v>190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ROW(Source!A194)</f>
        <v>194</v>
      </c>
      <c r="B168">
        <v>51670384</v>
      </c>
      <c r="C168">
        <v>51670371</v>
      </c>
      <c r="D168">
        <v>270771356</v>
      </c>
      <c r="E168">
        <v>1</v>
      </c>
      <c r="F168">
        <v>1</v>
      </c>
      <c r="G168">
        <v>1</v>
      </c>
      <c r="H168">
        <v>2</v>
      </c>
      <c r="I168" t="s">
        <v>471</v>
      </c>
      <c r="J168" t="s">
        <v>472</v>
      </c>
      <c r="K168" t="s">
        <v>473</v>
      </c>
      <c r="L168">
        <v>1368</v>
      </c>
      <c r="N168">
        <v>1011</v>
      </c>
      <c r="O168" t="s">
        <v>466</v>
      </c>
      <c r="P168" t="s">
        <v>466</v>
      </c>
      <c r="Q168">
        <v>1</v>
      </c>
      <c r="X168">
        <v>0.01</v>
      </c>
      <c r="Y168">
        <v>0</v>
      </c>
      <c r="Z168">
        <v>98.9</v>
      </c>
      <c r="AA168">
        <v>24.53</v>
      </c>
      <c r="AB168">
        <v>0</v>
      </c>
      <c r="AC168">
        <v>0</v>
      </c>
      <c r="AD168">
        <v>1</v>
      </c>
      <c r="AE168">
        <v>0</v>
      </c>
      <c r="AF168" t="s">
        <v>139</v>
      </c>
      <c r="AG168">
        <v>0.015625</v>
      </c>
      <c r="AH168">
        <v>2</v>
      </c>
      <c r="AI168">
        <v>51670374</v>
      </c>
      <c r="AJ168">
        <v>191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ROW(Source!A194)</f>
        <v>194</v>
      </c>
      <c r="B169">
        <v>51670385</v>
      </c>
      <c r="C169">
        <v>51670371</v>
      </c>
      <c r="D169">
        <v>270771745</v>
      </c>
      <c r="E169">
        <v>1</v>
      </c>
      <c r="F169">
        <v>1</v>
      </c>
      <c r="G169">
        <v>1</v>
      </c>
      <c r="H169">
        <v>2</v>
      </c>
      <c r="I169" t="s">
        <v>615</v>
      </c>
      <c r="J169" t="s">
        <v>616</v>
      </c>
      <c r="K169" t="s">
        <v>617</v>
      </c>
      <c r="L169">
        <v>1368</v>
      </c>
      <c r="N169">
        <v>1011</v>
      </c>
      <c r="O169" t="s">
        <v>466</v>
      </c>
      <c r="P169" t="s">
        <v>466</v>
      </c>
      <c r="Q169">
        <v>1</v>
      </c>
      <c r="X169">
        <v>1.6</v>
      </c>
      <c r="Y169">
        <v>0</v>
      </c>
      <c r="Z169">
        <v>8.31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139</v>
      </c>
      <c r="AG169">
        <v>2.5</v>
      </c>
      <c r="AH169">
        <v>2</v>
      </c>
      <c r="AI169">
        <v>51670375</v>
      </c>
      <c r="AJ169">
        <v>192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ROW(Source!A194)</f>
        <v>194</v>
      </c>
      <c r="B170">
        <v>51670386</v>
      </c>
      <c r="C170">
        <v>51670371</v>
      </c>
      <c r="D170">
        <v>270774071</v>
      </c>
      <c r="E170">
        <v>1</v>
      </c>
      <c r="F170">
        <v>1</v>
      </c>
      <c r="G170">
        <v>1</v>
      </c>
      <c r="H170">
        <v>2</v>
      </c>
      <c r="I170" t="s">
        <v>479</v>
      </c>
      <c r="J170" t="s">
        <v>480</v>
      </c>
      <c r="K170" t="s">
        <v>481</v>
      </c>
      <c r="L170">
        <v>1368</v>
      </c>
      <c r="N170">
        <v>1011</v>
      </c>
      <c r="O170" t="s">
        <v>466</v>
      </c>
      <c r="P170" t="s">
        <v>466</v>
      </c>
      <c r="Q170">
        <v>1</v>
      </c>
      <c r="X170">
        <v>0.01</v>
      </c>
      <c r="Y170">
        <v>0</v>
      </c>
      <c r="Z170">
        <v>119.95</v>
      </c>
      <c r="AA170">
        <v>20.99</v>
      </c>
      <c r="AB170">
        <v>0</v>
      </c>
      <c r="AC170">
        <v>0</v>
      </c>
      <c r="AD170">
        <v>1</v>
      </c>
      <c r="AE170">
        <v>0</v>
      </c>
      <c r="AF170" t="s">
        <v>139</v>
      </c>
      <c r="AG170">
        <v>0.015625</v>
      </c>
      <c r="AH170">
        <v>2</v>
      </c>
      <c r="AI170">
        <v>51670376</v>
      </c>
      <c r="AJ170">
        <v>193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ROW(Source!A194)</f>
        <v>194</v>
      </c>
      <c r="B171">
        <v>51670387</v>
      </c>
      <c r="C171">
        <v>51670371</v>
      </c>
      <c r="D171">
        <v>270716583</v>
      </c>
      <c r="E171">
        <v>1</v>
      </c>
      <c r="F171">
        <v>1</v>
      </c>
      <c r="G171">
        <v>1</v>
      </c>
      <c r="H171">
        <v>3</v>
      </c>
      <c r="I171" t="s">
        <v>672</v>
      </c>
      <c r="J171" t="s">
        <v>673</v>
      </c>
      <c r="K171" t="s">
        <v>674</v>
      </c>
      <c r="L171">
        <v>1348</v>
      </c>
      <c r="N171">
        <v>1009</v>
      </c>
      <c r="O171" t="s">
        <v>37</v>
      </c>
      <c r="P171" t="s">
        <v>37</v>
      </c>
      <c r="Q171">
        <v>1000</v>
      </c>
      <c r="X171">
        <v>6E-05</v>
      </c>
      <c r="Y171">
        <v>23703.67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6E-05</v>
      </c>
      <c r="AH171">
        <v>2</v>
      </c>
      <c r="AI171">
        <v>51670377</v>
      </c>
      <c r="AJ171">
        <v>194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ROW(Source!A194)</f>
        <v>194</v>
      </c>
      <c r="B172">
        <v>51670388</v>
      </c>
      <c r="C172">
        <v>51670371</v>
      </c>
      <c r="D172">
        <v>270718121</v>
      </c>
      <c r="E172">
        <v>1</v>
      </c>
      <c r="F172">
        <v>1</v>
      </c>
      <c r="G172">
        <v>1</v>
      </c>
      <c r="H172">
        <v>3</v>
      </c>
      <c r="I172" t="s">
        <v>675</v>
      </c>
      <c r="J172" t="s">
        <v>676</v>
      </c>
      <c r="K172" t="s">
        <v>677</v>
      </c>
      <c r="L172">
        <v>1348</v>
      </c>
      <c r="N172">
        <v>1009</v>
      </c>
      <c r="O172" t="s">
        <v>37</v>
      </c>
      <c r="P172" t="s">
        <v>37</v>
      </c>
      <c r="Q172">
        <v>1000</v>
      </c>
      <c r="X172">
        <v>0.00016</v>
      </c>
      <c r="Y172">
        <v>1525.63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0.00016</v>
      </c>
      <c r="AH172">
        <v>2</v>
      </c>
      <c r="AI172">
        <v>51670378</v>
      </c>
      <c r="AJ172">
        <v>195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ROW(Source!A194)</f>
        <v>194</v>
      </c>
      <c r="B173">
        <v>51670389</v>
      </c>
      <c r="C173">
        <v>51670371</v>
      </c>
      <c r="D173">
        <v>270723640</v>
      </c>
      <c r="E173">
        <v>1</v>
      </c>
      <c r="F173">
        <v>1</v>
      </c>
      <c r="G173">
        <v>1</v>
      </c>
      <c r="H173">
        <v>3</v>
      </c>
      <c r="I173" t="s">
        <v>626</v>
      </c>
      <c r="J173" t="s">
        <v>627</v>
      </c>
      <c r="K173" t="s">
        <v>628</v>
      </c>
      <c r="L173">
        <v>1348</v>
      </c>
      <c r="N173">
        <v>1009</v>
      </c>
      <c r="O173" t="s">
        <v>37</v>
      </c>
      <c r="P173" t="s">
        <v>37</v>
      </c>
      <c r="Q173">
        <v>1000</v>
      </c>
      <c r="X173">
        <v>0.00019</v>
      </c>
      <c r="Y173">
        <v>14120.9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0.00019</v>
      </c>
      <c r="AH173">
        <v>2</v>
      </c>
      <c r="AI173">
        <v>51670379</v>
      </c>
      <c r="AJ173">
        <v>196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ROW(Source!A194)</f>
        <v>194</v>
      </c>
      <c r="B174">
        <v>51670390</v>
      </c>
      <c r="C174">
        <v>51670371</v>
      </c>
      <c r="D174">
        <v>270741664</v>
      </c>
      <c r="E174">
        <v>1</v>
      </c>
      <c r="F174">
        <v>1</v>
      </c>
      <c r="G174">
        <v>1</v>
      </c>
      <c r="H174">
        <v>3</v>
      </c>
      <c r="I174" t="s">
        <v>355</v>
      </c>
      <c r="J174" t="s">
        <v>357</v>
      </c>
      <c r="K174" t="s">
        <v>356</v>
      </c>
      <c r="L174">
        <v>1354</v>
      </c>
      <c r="N174">
        <v>1010</v>
      </c>
      <c r="O174" t="s">
        <v>202</v>
      </c>
      <c r="P174" t="s">
        <v>202</v>
      </c>
      <c r="Q174">
        <v>1</v>
      </c>
      <c r="X174">
        <v>1</v>
      </c>
      <c r="Y174">
        <v>306.5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1</v>
      </c>
      <c r="AH174">
        <v>2</v>
      </c>
      <c r="AI174">
        <v>51670380</v>
      </c>
      <c r="AJ174">
        <v>197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ROW(Source!A197)</f>
        <v>197</v>
      </c>
      <c r="B175">
        <v>51670428</v>
      </c>
      <c r="C175">
        <v>51670415</v>
      </c>
      <c r="D175">
        <v>202549185</v>
      </c>
      <c r="E175">
        <v>1</v>
      </c>
      <c r="F175">
        <v>1</v>
      </c>
      <c r="G175">
        <v>1</v>
      </c>
      <c r="H175">
        <v>1</v>
      </c>
      <c r="I175" t="s">
        <v>531</v>
      </c>
      <c r="K175" t="s">
        <v>532</v>
      </c>
      <c r="L175">
        <v>1369</v>
      </c>
      <c r="N175">
        <v>1013</v>
      </c>
      <c r="O175" t="s">
        <v>462</v>
      </c>
      <c r="P175" t="s">
        <v>462</v>
      </c>
      <c r="Q175">
        <v>1</v>
      </c>
      <c r="X175">
        <v>132.98</v>
      </c>
      <c r="Y175">
        <v>0</v>
      </c>
      <c r="Z175">
        <v>0</v>
      </c>
      <c r="AA175">
        <v>0</v>
      </c>
      <c r="AB175">
        <v>16.57</v>
      </c>
      <c r="AC175">
        <v>0</v>
      </c>
      <c r="AD175">
        <v>1</v>
      </c>
      <c r="AE175">
        <v>1</v>
      </c>
      <c r="AF175" t="s">
        <v>140</v>
      </c>
      <c r="AG175">
        <v>191.15874999999994</v>
      </c>
      <c r="AH175">
        <v>2</v>
      </c>
      <c r="AI175">
        <v>51670416</v>
      </c>
      <c r="AJ175">
        <v>199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ROW(Source!A197)</f>
        <v>197</v>
      </c>
      <c r="B176">
        <v>51670429</v>
      </c>
      <c r="C176">
        <v>51670415</v>
      </c>
      <c r="D176">
        <v>121548</v>
      </c>
      <c r="E176">
        <v>1</v>
      </c>
      <c r="F176">
        <v>1</v>
      </c>
      <c r="G176">
        <v>1</v>
      </c>
      <c r="H176">
        <v>1</v>
      </c>
      <c r="I176" t="s">
        <v>26</v>
      </c>
      <c r="K176" t="s">
        <v>469</v>
      </c>
      <c r="L176">
        <v>608254</v>
      </c>
      <c r="N176">
        <v>1013</v>
      </c>
      <c r="O176" t="s">
        <v>470</v>
      </c>
      <c r="P176" t="s">
        <v>470</v>
      </c>
      <c r="Q176">
        <v>1</v>
      </c>
      <c r="X176">
        <v>0.38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139</v>
      </c>
      <c r="AG176">
        <v>0.59375</v>
      </c>
      <c r="AH176">
        <v>2</v>
      </c>
      <c r="AI176">
        <v>51670417</v>
      </c>
      <c r="AJ176">
        <v>200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ROW(Source!A197)</f>
        <v>197</v>
      </c>
      <c r="B177">
        <v>51670430</v>
      </c>
      <c r="C177">
        <v>51670415</v>
      </c>
      <c r="D177">
        <v>270771467</v>
      </c>
      <c r="E177">
        <v>1</v>
      </c>
      <c r="F177">
        <v>1</v>
      </c>
      <c r="G177">
        <v>1</v>
      </c>
      <c r="H177">
        <v>2</v>
      </c>
      <c r="I177" t="s">
        <v>476</v>
      </c>
      <c r="J177" t="s">
        <v>477</v>
      </c>
      <c r="K177" t="s">
        <v>478</v>
      </c>
      <c r="L177">
        <v>1368</v>
      </c>
      <c r="N177">
        <v>1011</v>
      </c>
      <c r="O177" t="s">
        <v>466</v>
      </c>
      <c r="P177" t="s">
        <v>466</v>
      </c>
      <c r="Q177">
        <v>1</v>
      </c>
      <c r="X177">
        <v>0.38</v>
      </c>
      <c r="Y177">
        <v>0</v>
      </c>
      <c r="Z177">
        <v>125.73</v>
      </c>
      <c r="AA177">
        <v>24.53</v>
      </c>
      <c r="AB177">
        <v>0</v>
      </c>
      <c r="AC177">
        <v>0</v>
      </c>
      <c r="AD177">
        <v>1</v>
      </c>
      <c r="AE177">
        <v>0</v>
      </c>
      <c r="AF177" t="s">
        <v>139</v>
      </c>
      <c r="AG177">
        <v>0.59375</v>
      </c>
      <c r="AH177">
        <v>2</v>
      </c>
      <c r="AI177">
        <v>51670418</v>
      </c>
      <c r="AJ177">
        <v>201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ROW(Source!A197)</f>
        <v>197</v>
      </c>
      <c r="B178">
        <v>51670431</v>
      </c>
      <c r="C178">
        <v>51670415</v>
      </c>
      <c r="D178">
        <v>270771603</v>
      </c>
      <c r="E178">
        <v>1</v>
      </c>
      <c r="F178">
        <v>1</v>
      </c>
      <c r="G178">
        <v>1</v>
      </c>
      <c r="H178">
        <v>2</v>
      </c>
      <c r="I178" t="s">
        <v>463</v>
      </c>
      <c r="J178" t="s">
        <v>464</v>
      </c>
      <c r="K178" t="s">
        <v>465</v>
      </c>
      <c r="L178">
        <v>1368</v>
      </c>
      <c r="N178">
        <v>1011</v>
      </c>
      <c r="O178" t="s">
        <v>466</v>
      </c>
      <c r="P178" t="s">
        <v>466</v>
      </c>
      <c r="Q178">
        <v>1</v>
      </c>
      <c r="X178">
        <v>0.39</v>
      </c>
      <c r="Y178">
        <v>0</v>
      </c>
      <c r="Z178">
        <v>6.68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139</v>
      </c>
      <c r="AG178">
        <v>0.609375</v>
      </c>
      <c r="AH178">
        <v>2</v>
      </c>
      <c r="AI178">
        <v>51670419</v>
      </c>
      <c r="AJ178">
        <v>202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ROW(Source!A197)</f>
        <v>197</v>
      </c>
      <c r="B179">
        <v>51670432</v>
      </c>
      <c r="C179">
        <v>51670415</v>
      </c>
      <c r="D179">
        <v>270771745</v>
      </c>
      <c r="E179">
        <v>1</v>
      </c>
      <c r="F179">
        <v>1</v>
      </c>
      <c r="G179">
        <v>1</v>
      </c>
      <c r="H179">
        <v>2</v>
      </c>
      <c r="I179" t="s">
        <v>615</v>
      </c>
      <c r="J179" t="s">
        <v>616</v>
      </c>
      <c r="K179" t="s">
        <v>617</v>
      </c>
      <c r="L179">
        <v>1368</v>
      </c>
      <c r="N179">
        <v>1011</v>
      </c>
      <c r="O179" t="s">
        <v>466</v>
      </c>
      <c r="P179" t="s">
        <v>466</v>
      </c>
      <c r="Q179">
        <v>1</v>
      </c>
      <c r="X179">
        <v>1.54</v>
      </c>
      <c r="Y179">
        <v>0</v>
      </c>
      <c r="Z179">
        <v>8.31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139</v>
      </c>
      <c r="AG179">
        <v>2.40625</v>
      </c>
      <c r="AH179">
        <v>2</v>
      </c>
      <c r="AI179">
        <v>51670420</v>
      </c>
      <c r="AJ179">
        <v>203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ROW(Source!A197)</f>
        <v>197</v>
      </c>
      <c r="B180">
        <v>51670433</v>
      </c>
      <c r="C180">
        <v>51670415</v>
      </c>
      <c r="D180">
        <v>270774071</v>
      </c>
      <c r="E180">
        <v>1</v>
      </c>
      <c r="F180">
        <v>1</v>
      </c>
      <c r="G180">
        <v>1</v>
      </c>
      <c r="H180">
        <v>2</v>
      </c>
      <c r="I180" t="s">
        <v>479</v>
      </c>
      <c r="J180" t="s">
        <v>480</v>
      </c>
      <c r="K180" t="s">
        <v>481</v>
      </c>
      <c r="L180">
        <v>1368</v>
      </c>
      <c r="N180">
        <v>1011</v>
      </c>
      <c r="O180" t="s">
        <v>466</v>
      </c>
      <c r="P180" t="s">
        <v>466</v>
      </c>
      <c r="Q180">
        <v>1</v>
      </c>
      <c r="X180">
        <v>0.57</v>
      </c>
      <c r="Y180">
        <v>0</v>
      </c>
      <c r="Z180">
        <v>119.95</v>
      </c>
      <c r="AA180">
        <v>20.99</v>
      </c>
      <c r="AB180">
        <v>0</v>
      </c>
      <c r="AC180">
        <v>0</v>
      </c>
      <c r="AD180">
        <v>1</v>
      </c>
      <c r="AE180">
        <v>0</v>
      </c>
      <c r="AF180" t="s">
        <v>139</v>
      </c>
      <c r="AG180">
        <v>0.8906249999999999</v>
      </c>
      <c r="AH180">
        <v>2</v>
      </c>
      <c r="AI180">
        <v>51670421</v>
      </c>
      <c r="AJ180">
        <v>204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ROW(Source!A197)</f>
        <v>197</v>
      </c>
      <c r="B181">
        <v>51670434</v>
      </c>
      <c r="C181">
        <v>51670415</v>
      </c>
      <c r="D181">
        <v>270720245</v>
      </c>
      <c r="E181">
        <v>1</v>
      </c>
      <c r="F181">
        <v>1</v>
      </c>
      <c r="G181">
        <v>1</v>
      </c>
      <c r="H181">
        <v>3</v>
      </c>
      <c r="I181" t="s">
        <v>678</v>
      </c>
      <c r="J181" t="s">
        <v>679</v>
      </c>
      <c r="K181" t="s">
        <v>680</v>
      </c>
      <c r="L181">
        <v>1348</v>
      </c>
      <c r="N181">
        <v>1009</v>
      </c>
      <c r="O181" t="s">
        <v>37</v>
      </c>
      <c r="P181" t="s">
        <v>37</v>
      </c>
      <c r="Q181">
        <v>1000</v>
      </c>
      <c r="X181">
        <v>0.00513</v>
      </c>
      <c r="Y181">
        <v>16270.53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0.00513</v>
      </c>
      <c r="AH181">
        <v>2</v>
      </c>
      <c r="AI181">
        <v>51670422</v>
      </c>
      <c r="AJ181">
        <v>205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ROW(Source!A197)</f>
        <v>197</v>
      </c>
      <c r="B182">
        <v>51670435</v>
      </c>
      <c r="C182">
        <v>51670415</v>
      </c>
      <c r="D182">
        <v>270723640</v>
      </c>
      <c r="E182">
        <v>1</v>
      </c>
      <c r="F182">
        <v>1</v>
      </c>
      <c r="G182">
        <v>1</v>
      </c>
      <c r="H182">
        <v>3</v>
      </c>
      <c r="I182" t="s">
        <v>626</v>
      </c>
      <c r="J182" t="s">
        <v>627</v>
      </c>
      <c r="K182" t="s">
        <v>628</v>
      </c>
      <c r="L182">
        <v>1348</v>
      </c>
      <c r="N182">
        <v>1009</v>
      </c>
      <c r="O182" t="s">
        <v>37</v>
      </c>
      <c r="P182" t="s">
        <v>37</v>
      </c>
      <c r="Q182">
        <v>1000</v>
      </c>
      <c r="X182">
        <v>0.00039</v>
      </c>
      <c r="Y182">
        <v>14120.9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0.00039</v>
      </c>
      <c r="AH182">
        <v>2</v>
      </c>
      <c r="AI182">
        <v>51670423</v>
      </c>
      <c r="AJ182">
        <v>206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ROW(Source!A197)</f>
        <v>197</v>
      </c>
      <c r="B183">
        <v>51670436</v>
      </c>
      <c r="C183">
        <v>51670415</v>
      </c>
      <c r="D183">
        <v>270719036</v>
      </c>
      <c r="E183">
        <v>1</v>
      </c>
      <c r="F183">
        <v>1</v>
      </c>
      <c r="G183">
        <v>1</v>
      </c>
      <c r="H183">
        <v>3</v>
      </c>
      <c r="I183" t="s">
        <v>681</v>
      </c>
      <c r="J183" t="s">
        <v>682</v>
      </c>
      <c r="K183" t="s">
        <v>683</v>
      </c>
      <c r="L183">
        <v>1346</v>
      </c>
      <c r="N183">
        <v>1009</v>
      </c>
      <c r="O183" t="s">
        <v>597</v>
      </c>
      <c r="P183" t="s">
        <v>597</v>
      </c>
      <c r="Q183">
        <v>1</v>
      </c>
      <c r="X183">
        <v>7.58</v>
      </c>
      <c r="Y183">
        <v>46.8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7.58</v>
      </c>
      <c r="AH183">
        <v>2</v>
      </c>
      <c r="AI183">
        <v>51670424</v>
      </c>
      <c r="AJ183">
        <v>207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ROW(Source!A197)</f>
        <v>197</v>
      </c>
      <c r="B184">
        <v>51670437</v>
      </c>
      <c r="C184">
        <v>51670415</v>
      </c>
      <c r="D184">
        <v>270723899</v>
      </c>
      <c r="E184">
        <v>1</v>
      </c>
      <c r="F184">
        <v>1</v>
      </c>
      <c r="G184">
        <v>1</v>
      </c>
      <c r="H184">
        <v>3</v>
      </c>
      <c r="I184" t="s">
        <v>655</v>
      </c>
      <c r="J184" t="s">
        <v>656</v>
      </c>
      <c r="K184" t="s">
        <v>657</v>
      </c>
      <c r="L184">
        <v>1348</v>
      </c>
      <c r="N184">
        <v>1009</v>
      </c>
      <c r="O184" t="s">
        <v>37</v>
      </c>
      <c r="P184" t="s">
        <v>37</v>
      </c>
      <c r="Q184">
        <v>1000</v>
      </c>
      <c r="X184">
        <v>0.011</v>
      </c>
      <c r="Y184">
        <v>15629.17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0.011</v>
      </c>
      <c r="AH184">
        <v>2</v>
      </c>
      <c r="AI184">
        <v>51670425</v>
      </c>
      <c r="AJ184">
        <v>208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ROW(Source!A197)</f>
        <v>197</v>
      </c>
      <c r="B185">
        <v>51670438</v>
      </c>
      <c r="C185">
        <v>51670415</v>
      </c>
      <c r="D185">
        <v>270722396</v>
      </c>
      <c r="E185">
        <v>1</v>
      </c>
      <c r="F185">
        <v>1</v>
      </c>
      <c r="G185">
        <v>1</v>
      </c>
      <c r="H185">
        <v>3</v>
      </c>
      <c r="I185" t="s">
        <v>704</v>
      </c>
      <c r="J185" t="s">
        <v>705</v>
      </c>
      <c r="K185" t="s">
        <v>706</v>
      </c>
      <c r="L185">
        <v>36015243</v>
      </c>
      <c r="N185">
        <v>1005</v>
      </c>
      <c r="O185" t="s">
        <v>182</v>
      </c>
      <c r="P185" t="s">
        <v>184</v>
      </c>
      <c r="Q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G185">
        <v>0</v>
      </c>
      <c r="AH185">
        <v>3</v>
      </c>
      <c r="AI185">
        <v>-1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ROW(Source!A197)</f>
        <v>197</v>
      </c>
      <c r="B186">
        <v>51670439</v>
      </c>
      <c r="C186">
        <v>51670415</v>
      </c>
      <c r="D186">
        <v>270740579</v>
      </c>
      <c r="E186">
        <v>1</v>
      </c>
      <c r="F186">
        <v>1</v>
      </c>
      <c r="G186">
        <v>1</v>
      </c>
      <c r="H186">
        <v>3</v>
      </c>
      <c r="I186" t="s">
        <v>707</v>
      </c>
      <c r="J186" t="s">
        <v>708</v>
      </c>
      <c r="K186" t="s">
        <v>709</v>
      </c>
      <c r="L186">
        <v>36015243</v>
      </c>
      <c r="N186">
        <v>1005</v>
      </c>
      <c r="O186" t="s">
        <v>182</v>
      </c>
      <c r="P186" t="s">
        <v>184</v>
      </c>
      <c r="Q186">
        <v>1</v>
      </c>
      <c r="X186">
        <v>100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G186">
        <v>100</v>
      </c>
      <c r="AH186">
        <v>3</v>
      </c>
      <c r="AI186">
        <v>-1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ROW(Source!A197)</f>
        <v>197</v>
      </c>
      <c r="B187">
        <v>51670440</v>
      </c>
      <c r="C187">
        <v>51670415</v>
      </c>
      <c r="D187">
        <v>270742365</v>
      </c>
      <c r="E187">
        <v>1</v>
      </c>
      <c r="F187">
        <v>1</v>
      </c>
      <c r="G187">
        <v>1</v>
      </c>
      <c r="H187">
        <v>3</v>
      </c>
      <c r="I187" t="s">
        <v>710</v>
      </c>
      <c r="J187" t="s">
        <v>711</v>
      </c>
      <c r="K187" t="s">
        <v>712</v>
      </c>
      <c r="L187">
        <v>1354</v>
      </c>
      <c r="N187">
        <v>1010</v>
      </c>
      <c r="O187" t="s">
        <v>202</v>
      </c>
      <c r="P187" t="s">
        <v>202</v>
      </c>
      <c r="Q187">
        <v>1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0</v>
      </c>
      <c r="AE187">
        <v>0</v>
      </c>
      <c r="AG187">
        <v>0</v>
      </c>
      <c r="AH187">
        <v>3</v>
      </c>
      <c r="AI187">
        <v>-1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ROW(Source!A197)</f>
        <v>197</v>
      </c>
      <c r="B188">
        <v>51670441</v>
      </c>
      <c r="C188">
        <v>51670415</v>
      </c>
      <c r="D188">
        <v>270744519</v>
      </c>
      <c r="E188">
        <v>1</v>
      </c>
      <c r="F188">
        <v>1</v>
      </c>
      <c r="G188">
        <v>1</v>
      </c>
      <c r="H188">
        <v>3</v>
      </c>
      <c r="I188" t="s">
        <v>695</v>
      </c>
      <c r="J188" t="s">
        <v>696</v>
      </c>
      <c r="K188" t="s">
        <v>697</v>
      </c>
      <c r="L188">
        <v>1346</v>
      </c>
      <c r="N188">
        <v>1009</v>
      </c>
      <c r="O188" t="s">
        <v>597</v>
      </c>
      <c r="P188" t="s">
        <v>597</v>
      </c>
      <c r="Q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G188">
        <v>0</v>
      </c>
      <c r="AH188">
        <v>3</v>
      </c>
      <c r="AI188">
        <v>-1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ROW(Source!A197)</f>
        <v>197</v>
      </c>
      <c r="B189">
        <v>51670442</v>
      </c>
      <c r="C189">
        <v>51670415</v>
      </c>
      <c r="D189">
        <v>270741939</v>
      </c>
      <c r="E189">
        <v>1</v>
      </c>
      <c r="F189">
        <v>1</v>
      </c>
      <c r="G189">
        <v>1</v>
      </c>
      <c r="H189">
        <v>3</v>
      </c>
      <c r="I189" t="s">
        <v>713</v>
      </c>
      <c r="J189" t="s">
        <v>714</v>
      </c>
      <c r="K189" t="s">
        <v>715</v>
      </c>
      <c r="L189">
        <v>1354</v>
      </c>
      <c r="N189">
        <v>1010</v>
      </c>
      <c r="O189" t="s">
        <v>202</v>
      </c>
      <c r="P189" t="s">
        <v>202</v>
      </c>
      <c r="Q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G189">
        <v>0</v>
      </c>
      <c r="AH189">
        <v>3</v>
      </c>
      <c r="AI189">
        <v>-1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ROW(Source!A197)</f>
        <v>197</v>
      </c>
      <c r="B190">
        <v>51670443</v>
      </c>
      <c r="C190">
        <v>51670415</v>
      </c>
      <c r="D190">
        <v>270770756</v>
      </c>
      <c r="E190">
        <v>1</v>
      </c>
      <c r="F190">
        <v>1</v>
      </c>
      <c r="G190">
        <v>1</v>
      </c>
      <c r="H190">
        <v>3</v>
      </c>
      <c r="I190" t="s">
        <v>684</v>
      </c>
      <c r="J190" t="s">
        <v>685</v>
      </c>
      <c r="K190" t="s">
        <v>686</v>
      </c>
      <c r="L190">
        <v>1348</v>
      </c>
      <c r="N190">
        <v>1009</v>
      </c>
      <c r="O190" t="s">
        <v>37</v>
      </c>
      <c r="P190" t="s">
        <v>37</v>
      </c>
      <c r="Q190">
        <v>1000</v>
      </c>
      <c r="X190">
        <v>0.00084</v>
      </c>
      <c r="Y190">
        <v>19584.13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G190">
        <v>0.00084</v>
      </c>
      <c r="AH190">
        <v>2</v>
      </c>
      <c r="AI190">
        <v>51670427</v>
      </c>
      <c r="AJ190">
        <v>210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ROW(Source!A199)</f>
        <v>199</v>
      </c>
      <c r="B191">
        <v>51670453</v>
      </c>
      <c r="C191">
        <v>51670445</v>
      </c>
      <c r="D191">
        <v>202541978</v>
      </c>
      <c r="E191">
        <v>1</v>
      </c>
      <c r="F191">
        <v>1</v>
      </c>
      <c r="G191">
        <v>1</v>
      </c>
      <c r="H191">
        <v>1</v>
      </c>
      <c r="I191" t="s">
        <v>687</v>
      </c>
      <c r="K191" t="s">
        <v>688</v>
      </c>
      <c r="L191">
        <v>1369</v>
      </c>
      <c r="N191">
        <v>1013</v>
      </c>
      <c r="O191" t="s">
        <v>462</v>
      </c>
      <c r="P191" t="s">
        <v>462</v>
      </c>
      <c r="Q191">
        <v>1</v>
      </c>
      <c r="X191">
        <v>1</v>
      </c>
      <c r="Y191">
        <v>0</v>
      </c>
      <c r="Z191">
        <v>0</v>
      </c>
      <c r="AA191">
        <v>0</v>
      </c>
      <c r="AB191">
        <v>17.41</v>
      </c>
      <c r="AC191">
        <v>0</v>
      </c>
      <c r="AD191">
        <v>1</v>
      </c>
      <c r="AE191">
        <v>1</v>
      </c>
      <c r="AF191" t="s">
        <v>140</v>
      </c>
      <c r="AG191">
        <v>1.4375</v>
      </c>
      <c r="AH191">
        <v>2</v>
      </c>
      <c r="AI191">
        <v>51670446</v>
      </c>
      <c r="AJ191">
        <v>211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ROW(Source!A199)</f>
        <v>199</v>
      </c>
      <c r="B192">
        <v>51670454</v>
      </c>
      <c r="C192">
        <v>51670445</v>
      </c>
      <c r="D192">
        <v>270771597</v>
      </c>
      <c r="E192">
        <v>1</v>
      </c>
      <c r="F192">
        <v>1</v>
      </c>
      <c r="G192">
        <v>1</v>
      </c>
      <c r="H192">
        <v>2</v>
      </c>
      <c r="I192" t="s">
        <v>689</v>
      </c>
      <c r="J192" t="s">
        <v>690</v>
      </c>
      <c r="K192" t="s">
        <v>691</v>
      </c>
      <c r="L192">
        <v>1368</v>
      </c>
      <c r="N192">
        <v>1011</v>
      </c>
      <c r="O192" t="s">
        <v>466</v>
      </c>
      <c r="P192" t="s">
        <v>466</v>
      </c>
      <c r="Q192">
        <v>1</v>
      </c>
      <c r="X192">
        <v>0.19</v>
      </c>
      <c r="Y192">
        <v>0</v>
      </c>
      <c r="Z192">
        <v>3.12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139</v>
      </c>
      <c r="AG192">
        <v>0.296875</v>
      </c>
      <c r="AH192">
        <v>2</v>
      </c>
      <c r="AI192">
        <v>51670447</v>
      </c>
      <c r="AJ192">
        <v>212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ROW(Source!A199)</f>
        <v>199</v>
      </c>
      <c r="B193">
        <v>51670455</v>
      </c>
      <c r="C193">
        <v>51670445</v>
      </c>
      <c r="D193">
        <v>270771745</v>
      </c>
      <c r="E193">
        <v>1</v>
      </c>
      <c r="F193">
        <v>1</v>
      </c>
      <c r="G193">
        <v>1</v>
      </c>
      <c r="H193">
        <v>2</v>
      </c>
      <c r="I193" t="s">
        <v>615</v>
      </c>
      <c r="J193" t="s">
        <v>616</v>
      </c>
      <c r="K193" t="s">
        <v>617</v>
      </c>
      <c r="L193">
        <v>1368</v>
      </c>
      <c r="N193">
        <v>1011</v>
      </c>
      <c r="O193" t="s">
        <v>466</v>
      </c>
      <c r="P193" t="s">
        <v>466</v>
      </c>
      <c r="Q193">
        <v>1</v>
      </c>
      <c r="X193">
        <v>0.08</v>
      </c>
      <c r="Y193">
        <v>0</v>
      </c>
      <c r="Z193">
        <v>8.31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139</v>
      </c>
      <c r="AG193">
        <v>0.125</v>
      </c>
      <c r="AH193">
        <v>2</v>
      </c>
      <c r="AI193">
        <v>51670448</v>
      </c>
      <c r="AJ193">
        <v>213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ROW(Source!A199)</f>
        <v>199</v>
      </c>
      <c r="B194">
        <v>51670456</v>
      </c>
      <c r="C194">
        <v>51670445</v>
      </c>
      <c r="D194">
        <v>270774071</v>
      </c>
      <c r="E194">
        <v>1</v>
      </c>
      <c r="F194">
        <v>1</v>
      </c>
      <c r="G194">
        <v>1</v>
      </c>
      <c r="H194">
        <v>2</v>
      </c>
      <c r="I194" t="s">
        <v>479</v>
      </c>
      <c r="J194" t="s">
        <v>480</v>
      </c>
      <c r="K194" t="s">
        <v>481</v>
      </c>
      <c r="L194">
        <v>1368</v>
      </c>
      <c r="N194">
        <v>1011</v>
      </c>
      <c r="O194" t="s">
        <v>466</v>
      </c>
      <c r="P194" t="s">
        <v>466</v>
      </c>
      <c r="Q194">
        <v>1</v>
      </c>
      <c r="X194">
        <v>0.01</v>
      </c>
      <c r="Y194">
        <v>0</v>
      </c>
      <c r="Z194">
        <v>119.95</v>
      </c>
      <c r="AA194">
        <v>20.99</v>
      </c>
      <c r="AB194">
        <v>0</v>
      </c>
      <c r="AC194">
        <v>0</v>
      </c>
      <c r="AD194">
        <v>1</v>
      </c>
      <c r="AE194">
        <v>0</v>
      </c>
      <c r="AF194" t="s">
        <v>139</v>
      </c>
      <c r="AG194">
        <v>0.015625</v>
      </c>
      <c r="AH194">
        <v>2</v>
      </c>
      <c r="AI194">
        <v>51670449</v>
      </c>
      <c r="AJ194">
        <v>214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ROW(Source!A199)</f>
        <v>199</v>
      </c>
      <c r="B195">
        <v>51670457</v>
      </c>
      <c r="C195">
        <v>51670445</v>
      </c>
      <c r="D195">
        <v>270723640</v>
      </c>
      <c r="E195">
        <v>1</v>
      </c>
      <c r="F195">
        <v>1</v>
      </c>
      <c r="G195">
        <v>1</v>
      </c>
      <c r="H195">
        <v>3</v>
      </c>
      <c r="I195" t="s">
        <v>626</v>
      </c>
      <c r="J195" t="s">
        <v>627</v>
      </c>
      <c r="K195" t="s">
        <v>628</v>
      </c>
      <c r="L195">
        <v>1348</v>
      </c>
      <c r="N195">
        <v>1009</v>
      </c>
      <c r="O195" t="s">
        <v>37</v>
      </c>
      <c r="P195" t="s">
        <v>37</v>
      </c>
      <c r="Q195">
        <v>1000</v>
      </c>
      <c r="X195">
        <v>7E-05</v>
      </c>
      <c r="Y195">
        <v>14120.9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7E-05</v>
      </c>
      <c r="AH195">
        <v>2</v>
      </c>
      <c r="AI195">
        <v>51670450</v>
      </c>
      <c r="AJ195">
        <v>215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ROW(Source!A199)</f>
        <v>199</v>
      </c>
      <c r="B196">
        <v>51670458</v>
      </c>
      <c r="C196">
        <v>51670445</v>
      </c>
      <c r="D196">
        <v>270723899</v>
      </c>
      <c r="E196">
        <v>1</v>
      </c>
      <c r="F196">
        <v>1</v>
      </c>
      <c r="G196">
        <v>1</v>
      </c>
      <c r="H196">
        <v>3</v>
      </c>
      <c r="I196" t="s">
        <v>655</v>
      </c>
      <c r="J196" t="s">
        <v>656</v>
      </c>
      <c r="K196" t="s">
        <v>657</v>
      </c>
      <c r="L196">
        <v>1348</v>
      </c>
      <c r="N196">
        <v>1009</v>
      </c>
      <c r="O196" t="s">
        <v>37</v>
      </c>
      <c r="P196" t="s">
        <v>37</v>
      </c>
      <c r="Q196">
        <v>1000</v>
      </c>
      <c r="X196">
        <v>0.00027</v>
      </c>
      <c r="Y196">
        <v>15629.17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0.00027</v>
      </c>
      <c r="AH196">
        <v>2</v>
      </c>
      <c r="AI196">
        <v>51670451</v>
      </c>
      <c r="AJ196">
        <v>216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ROW(Source!A199)</f>
        <v>199</v>
      </c>
      <c r="B197">
        <v>51670459</v>
      </c>
      <c r="C197">
        <v>51670445</v>
      </c>
      <c r="D197">
        <v>270744519</v>
      </c>
      <c r="E197">
        <v>1</v>
      </c>
      <c r="F197">
        <v>1</v>
      </c>
      <c r="G197">
        <v>1</v>
      </c>
      <c r="H197">
        <v>3</v>
      </c>
      <c r="I197" t="s">
        <v>695</v>
      </c>
      <c r="J197" t="s">
        <v>696</v>
      </c>
      <c r="K197" t="s">
        <v>697</v>
      </c>
      <c r="L197">
        <v>1346</v>
      </c>
      <c r="N197">
        <v>1009</v>
      </c>
      <c r="O197" t="s">
        <v>597</v>
      </c>
      <c r="P197" t="s">
        <v>597</v>
      </c>
      <c r="Q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G197">
        <v>0</v>
      </c>
      <c r="AH197">
        <v>3</v>
      </c>
      <c r="AI197">
        <v>-1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ROW(Source!A199)</f>
        <v>199</v>
      </c>
      <c r="B198">
        <v>51670460</v>
      </c>
      <c r="C198">
        <v>51670445</v>
      </c>
      <c r="D198">
        <v>270742172</v>
      </c>
      <c r="E198">
        <v>1</v>
      </c>
      <c r="F198">
        <v>1</v>
      </c>
      <c r="G198">
        <v>1</v>
      </c>
      <c r="H198">
        <v>3</v>
      </c>
      <c r="I198" t="s">
        <v>716</v>
      </c>
      <c r="J198" t="s">
        <v>717</v>
      </c>
      <c r="K198" t="s">
        <v>718</v>
      </c>
      <c r="L198">
        <v>1354</v>
      </c>
      <c r="N198">
        <v>1010</v>
      </c>
      <c r="O198" t="s">
        <v>202</v>
      </c>
      <c r="P198" t="s">
        <v>202</v>
      </c>
      <c r="Q198">
        <v>1</v>
      </c>
      <c r="X198">
        <v>1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G198">
        <v>1</v>
      </c>
      <c r="AH198">
        <v>3</v>
      </c>
      <c r="AI198">
        <v>-1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Engineer17</dc:creator>
  <cp:keywords/>
  <dc:description/>
  <cp:lastModifiedBy>Игорь</cp:lastModifiedBy>
  <dcterms:created xsi:type="dcterms:W3CDTF">2019-03-13T18:49:34Z</dcterms:created>
  <dcterms:modified xsi:type="dcterms:W3CDTF">2019-03-21T10:22:02Z</dcterms:modified>
  <cp:category/>
  <cp:version/>
  <cp:contentType/>
  <cp:contentStatus/>
</cp:coreProperties>
</file>