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Смета 12 гр. ТЕР МО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12 гр. ТЕР МО'!$39:$39</definedName>
    <definedName name="_xlnm.Print_Area" localSheetId="0">'Смета 12 гр. ТЕР МО'!$A$1:$L$256</definedName>
  </definedNames>
  <calcPr fullCalcOnLoad="1"/>
</workbook>
</file>

<file path=xl/sharedStrings.xml><?xml version="1.0" encoding="utf-8"?>
<sst xmlns="http://schemas.openxmlformats.org/spreadsheetml/2006/main" count="4769" uniqueCount="766">
  <si>
    <t>Smeta.RU  (495) 974-1589</t>
  </si>
  <si>
    <t>_PS_</t>
  </si>
  <si>
    <t>Smeta.RU</t>
  </si>
  <si>
    <t>Администрация муниципального образования Люберецкий район МО  Доп. раб. место  MCCS-0023369</t>
  </si>
  <si>
    <t>Новый объект</t>
  </si>
  <si>
    <t>ДМШ № 2-ремонт  помещений-2020г (УСН)</t>
  </si>
  <si>
    <t/>
  </si>
  <si>
    <t>Сметные нормы списания</t>
  </si>
  <si>
    <t>Коды ценников</t>
  </si>
  <si>
    <t>ТСНБ-2001 МО ред 2014 Упрощенка ремонт жил и обществ (БЕЗ ПОНИЖАЮЩИХ ЕСН)</t>
  </si>
  <si>
    <t>ТР для Версии 10: Центральные регионы (с уч. п-ма 2536-ИП/12/ГС от 27.11.12, 01/57049-ЮЛ от 27.04.2018) от 30.08.2018 г</t>
  </si>
  <si>
    <t>ТСНБ-2001 Московской области (редакция 2014 г версия 15.0)</t>
  </si>
  <si>
    <t>Поправки  для НБ 2014 года от 26.02.2015</t>
  </si>
  <si>
    <t>Новая локальная смета</t>
  </si>
  <si>
    <t>1</t>
  </si>
  <si>
    <t>10-05-012-1</t>
  </si>
  <si>
    <t>Облицовка стен глухих (без проемов) по металлическому одинарному каркасу гипсокартонными листами</t>
  </si>
  <si>
    <t>100 м2</t>
  </si>
  <si>
    <t>ТСНБ-2001 Московской области, 10-05-012-1, протокол от 24.05.2017 г. № 5</t>
  </si>
  <si>
    <t>)*1,25</t>
  </si>
  <si>
    <t>)*1,15</t>
  </si>
  <si>
    <t>Общестроительные работы</t>
  </si>
  <si>
    <t>Деревянные конструкции</t>
  </si>
  <si>
    <t>ФЕР-10</t>
  </si>
  <si>
    <t>Поправка: МДС 81-35.2004, п.4.7</t>
  </si>
  <si>
    <t>*0,9*0,7</t>
  </si>
  <si>
    <t>*0,85*0,9</t>
  </si>
  <si>
    <t>1,1</t>
  </si>
  <si>
    <t>101-2510</t>
  </si>
  <si>
    <t>Листы гипсокартонные ГКЛ 14 мм</t>
  </si>
  <si>
    <t>м2</t>
  </si>
  <si>
    <t>ТССЦ Московской обл., 101-2510, приказ Минстроя России №675/пр от 28.02.2017 № 254/пр</t>
  </si>
  <si>
    <t>2</t>
  </si>
  <si>
    <t>10-01-039-1</t>
  </si>
  <si>
    <t>Установка блоков в наружных и внутренних дверных проемах в каменных стенах, площадь проема до 3 м2</t>
  </si>
  <si>
    <t>100 м2 проемов</t>
  </si>
  <si>
    <t>ТЕР Московской обл., 10-01-039-1, приказ Минстроя России №675/пр от 21.09.2015 г.</t>
  </si>
  <si>
    <t>2,1</t>
  </si>
  <si>
    <t>203-0223</t>
  </si>
  <si>
    <t>Блоки дверные с рамочными полотнами однопольные ДН 21-10, площадь 2,05 м2; ДН 24-10, площадь 2,35 м2</t>
  </si>
  <si>
    <t>ТССЦ Московской обл., 203-0223, приказ Минстроя России №675/пр от 21.09.2015 г.</t>
  </si>
  <si>
    <t>2,2</t>
  </si>
  <si>
    <t>203-0601</t>
  </si>
  <si>
    <t>Блок дверной, одностворчатый, 3-х филёнчатый, глухой сосновый,массивный, без лака, модель FF PUUVALMIS 3P, размер дверного полотна 600x2000 мм</t>
  </si>
  <si>
    <t>компл.</t>
  </si>
  <si>
    <t>ТССЦ Московской обл., 203-0601, приказ Минстроя России №675/пр от 28.02.2017 № 255/пр</t>
  </si>
  <si>
    <t>3</t>
  </si>
  <si>
    <t>10-01-060-1</t>
  </si>
  <si>
    <t>Установка и крепление наличников</t>
  </si>
  <si>
    <t>100 м коробок блоков</t>
  </si>
  <si>
    <t>ТЕР Московской обл., 10-01-060-1, приказ Минстроя России №675/пр от 21.09.2015 г.</t>
  </si>
  <si>
    <t>4</t>
  </si>
  <si>
    <t>15-01-019-7</t>
  </si>
  <si>
    <t>Гладкая облицовка стен, столбов, пилястр и откосов (без карнизных, плинтусных и угловых плиток) с установкой плиток туалетного гарнитура на клее из сухих смесей по кирпичу и бетону</t>
  </si>
  <si>
    <t>100 м2 поверхности облицовки</t>
  </si>
  <si>
    <t>ТЕР Московской обл., 15-01-019-7, приказ Минстроя России №675/пр от 28.02.2017 № 260/пр</t>
  </si>
  <si>
    <t>Отделочные работы</t>
  </si>
  <si>
    <t>ФЕР-15</t>
  </si>
  <si>
    <t>4,1</t>
  </si>
  <si>
    <t>101-0256</t>
  </si>
  <si>
    <t>Плитки керамические глазурованные для внутренней облицовки стен гладкие без завала белые</t>
  </si>
  <si>
    <t>ТССЦ Московской обл., 101-0256, приказ Минстроя России №675/пр от 28.02.2017 № 254/пр</t>
  </si>
  <si>
    <t>4,2</t>
  </si>
  <si>
    <t>101-0262-2</t>
  </si>
  <si>
    <t>Плитки керамические глазурованные "Сокол" цветная, 20х33х0.7</t>
  </si>
  <si>
    <t>Московская область Каталог текущих цен на материалы (ГАУ Мособлгосэкспертиза), 101-0262-2</t>
  </si>
  <si>
    <t>5</t>
  </si>
  <si>
    <t>11-01-300-1</t>
  </si>
  <si>
    <t>Устройство покрытий из керамогранитных плиток размером 30х30 см</t>
  </si>
  <si>
    <t>ТСНБ-2001 Московской области, 11-01-300-1, протокол от 24.05.2017 г. № 5</t>
  </si>
  <si>
    <t>Полы</t>
  </si>
  <si>
    <t>ФЕР-11</t>
  </si>
  <si>
    <t>6</t>
  </si>
  <si>
    <t>11-01-034-4</t>
  </si>
  <si>
    <t>Устройство покрытий из досок ламинированных замковым способом</t>
  </si>
  <si>
    <t>100 м2 покрытия</t>
  </si>
  <si>
    <t>ТЕР Московской обл., 11-01-034-4, приказ Минстроя России №675/пр от 28.02.2017 № 260/пр</t>
  </si>
  <si>
    <t>7</t>
  </si>
  <si>
    <t>11-01-049-1</t>
  </si>
  <si>
    <t>Укладка металлического накладного профиля (порога)</t>
  </si>
  <si>
    <t>100 м профиля</t>
  </si>
  <si>
    <t>ТЕР Московской обл., 11-01-049-1, приказ Минстроя России №675/пр от 28.02.2017 № 260/пр</t>
  </si>
  <si>
    <t>7,1</t>
  </si>
  <si>
    <t>206-1348</t>
  </si>
  <si>
    <t>Профили стыкоперекрывающие из алюминиевых сплавов (порожки) с покрытием, шириной 30 мм</t>
  </si>
  <si>
    <t>м</t>
  </si>
  <si>
    <t>ТССЦ Московской обл., 206-1348, приказ Минстроя России №675/пр от 28.02.2017 № 255/пр</t>
  </si>
  <si>
    <t>8</t>
  </si>
  <si>
    <t>15-01-047-16</t>
  </si>
  <si>
    <t>Устройство потолков реечных алюминиевых</t>
  </si>
  <si>
    <t>ТЕР Московской обл., 15-01-047-16, приказ Минстроя России №675/пр от 28.02.2017 № 260/пр</t>
  </si>
  <si>
    <t>8,1</t>
  </si>
  <si>
    <t>206-1338</t>
  </si>
  <si>
    <t>Уголок декоративный (пристенный)</t>
  </si>
  <si>
    <t>ТССЦ Московской обл., 206-1338, приказ Минстроя России №675/пр от 28.02.2017 № 255/пр</t>
  </si>
  <si>
    <t>занесена вручную</t>
  </si>
  <si>
    <t>9</t>
  </si>
  <si>
    <t>20-02-003-4</t>
  </si>
  <si>
    <t>Установка вентрешеток , размер 252х252 мм</t>
  </si>
  <si>
    <t>1 решетка</t>
  </si>
  <si>
    <t>ТЕР Московской обл., 20-02-003-4, приказ Минстроя России №675/пр от 28.02.2017 № 260/пр</t>
  </si>
  <si>
    <t>Вентиляция и кондиционирование</t>
  </si>
  <si>
    <t>ФЕР-20</t>
  </si>
  <si>
    <t>10</t>
  </si>
  <si>
    <t>17-01-001-20</t>
  </si>
  <si>
    <t>Установка кабин душевых со стальными поддонами</t>
  </si>
  <si>
    <t>10 компл.</t>
  </si>
  <si>
    <t>ТЕР Московской обл., 17-01-001-20, приказ Минстроя России №675/пр от 28.02.2017 № 260/пр</t>
  </si>
  <si>
    <t>Водопровод и канализация - внутренние устройства</t>
  </si>
  <si>
    <t>ФЕР-17</t>
  </si>
  <si>
    <t>10,1</t>
  </si>
  <si>
    <t>301-1532</t>
  </si>
  <si>
    <t>Кабина душевая 800х800х1975 мм со стальным поддоном</t>
  </si>
  <si>
    <t>ТССЦ Московской обл., 301-1532, приказ Минстроя России №675/пр от 28.02.2017 № 256/пр</t>
  </si>
  <si>
    <t>10,2</t>
  </si>
  <si>
    <t>301-1533</t>
  </si>
  <si>
    <t>Кабина душевая 800х800х1975 мм с пластиковым поддоном</t>
  </si>
  <si>
    <t>ТССЦ Московской обл., 301-1533, приказ Минстроя России №675/пр от 28.02.2017 № 256/пр</t>
  </si>
  <si>
    <t>11</t>
  </si>
  <si>
    <t>17-01-003-1</t>
  </si>
  <si>
    <t>Установка унитазов с бачком непосредственно присоединенным</t>
  </si>
  <si>
    <t>ТЕР Московской обл., 17-01-003-1, приказ Минстроя России №675/пр от 28.02.2017 № 260/пр</t>
  </si>
  <si>
    <t>12</t>
  </si>
  <si>
    <t>17-01-001-14</t>
  </si>
  <si>
    <t>Установка умывальников одиночных с подводкой холодной и горячей воды</t>
  </si>
  <si>
    <t>ТСНБ-2001 Московская обл 17-01-001-14, распоряжение №52 от 06.09.2011г.</t>
  </si>
  <si>
    <t>12,1</t>
  </si>
  <si>
    <t>301-0825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</si>
  <si>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</si>
  <si>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ТСНБ-2001 Московская обл распоряжение № 51от 06.09.2011г. 301-0825</t>
  </si>
  <si>
    <t>12,2</t>
  </si>
  <si>
    <t>300-9400-138</t>
  </si>
  <si>
    <t>Умывальники полукруглые "Тюльпан"</t>
  </si>
  <si>
    <t>шт.</t>
  </si>
  <si>
    <t>Московская область Каталог текущих цен на материалы (ГАУ Мособлгосэкспертиза), 300-9400-138</t>
  </si>
  <si>
    <t>12,3</t>
  </si>
  <si>
    <t>300-9400-168</t>
  </si>
  <si>
    <t>Пьедесталы "Тюльпан"</t>
  </si>
  <si>
    <t>Московская область Каталог текущих цен на материалы (ГАУ Мособлгосэкспертиза), 300-9400-168</t>
  </si>
  <si>
    <t>13</t>
  </si>
  <si>
    <t>17-01-002-3</t>
  </si>
  <si>
    <t>Установка смесителей</t>
  </si>
  <si>
    <t>10 шт.</t>
  </si>
  <si>
    <t>ТЕР Московской обл., 17-01-002-3, приказ Минстроя России №675/пр от 21.09.2015 г.</t>
  </si>
  <si>
    <t>13,1</t>
  </si>
  <si>
    <t>301-1527</t>
  </si>
  <si>
    <t>Смеситель латунный с гальванопокрытием для мойки настольный, с верхней камерой смешения</t>
  </si>
  <si>
    <t>ТССЦ Московской обл., 301-1527, приказ Минстроя России №675/пр от 21.09.2015 г.</t>
  </si>
  <si>
    <t>13,2</t>
  </si>
  <si>
    <t>300-9450-053</t>
  </si>
  <si>
    <t>Смеситель одноручный Rossinka  Y35-22  с поворотным изливом для умывальника. Материал: латунь. Комплект: набор крепления, комплект подводки, пластиковый аэратор, керамический картридж 35 мм.</t>
  </si>
  <si>
    <t>Московская область Каталог текущих цен на материалы (ГАУ Мособлгосэкспертиза), 300-9450-053</t>
  </si>
  <si>
    <t>14</t>
  </si>
  <si>
    <t>16-04-005-1</t>
  </si>
  <si>
    <t>Прокладка внутренних трубопроводов водоснабжения и отопления из полипропиленовых труб: 20 мм</t>
  </si>
  <si>
    <t>100 м трещин</t>
  </si>
  <si>
    <t>ТСНБ-2001 Московской области, 16-04-005-1, протокол от 24.05.2017 г. № 5</t>
  </si>
  <si>
    <t>100 м</t>
  </si>
  <si>
    <t>Трубопроводы внутренние</t>
  </si>
  <si>
    <t>ФЕР-16</t>
  </si>
  <si>
    <t>14,1</t>
  </si>
  <si>
    <t>302-3344</t>
  </si>
  <si>
    <t>Трубопроводы напорные из полипропилена PPRS с гильзами и креплениями для холодного и горячего водоснабжения PN20 SDR 6, диаметром 20 мм, толщина стенки 3,4 мм</t>
  </si>
  <si>
    <t>1 м</t>
  </si>
  <si>
    <t>ТССЦ-2001 Московской области, 302-3344, протокол от 24.05.2017 г. № 5</t>
  </si>
  <si>
    <t>15</t>
  </si>
  <si>
    <t>16-04-005-2</t>
  </si>
  <si>
    <t>Прокладка внутренних трубопроводов водоснабжения и отопления из полипропиленовых труб: 25 мм</t>
  </si>
  <si>
    <t>ТСНБ-2001 Московской области, 16-04-005-2, протокол от 24.05.2017 г. № 5</t>
  </si>
  <si>
    <t>15,1</t>
  </si>
  <si>
    <t>302-3345</t>
  </si>
  <si>
    <t>Трубопроводы напорные из полипропилена PPRS с гильзами и креплениями для холодного и горячего водоснабжения PN20 SDR 6, диаметром 25 мм, толщина стенки 4,2 мм</t>
  </si>
  <si>
    <t>ТССЦ-2001 Московской области, 302-3345, протокол от 24.05.2017 г. № 5</t>
  </si>
  <si>
    <t>16</t>
  </si>
  <si>
    <t>16-04-001-1</t>
  </si>
  <si>
    <t>Прокладка трубопроводов канализации из полиэтиленовых труб высокой плотности диаметром 50 мм</t>
  </si>
  <si>
    <t>100 м трубопровода</t>
  </si>
  <si>
    <t>ТЕР Московской обл., 16-04-001-1, приказ Минстроя России №675/пр от 28.02.2017 № 260/пр</t>
  </si>
  <si>
    <t>17</t>
  </si>
  <si>
    <t>16-05-001-1</t>
  </si>
  <si>
    <t>Установка  шаровых  кранов  диаметром до 25 мм</t>
  </si>
  <si>
    <t>1  ШТ.</t>
  </si>
  <si>
    <t>ТЕР Московской обл., 16-05-001-1, приказ Минстроя России №675/пр от 28.02.2017 № 260/пр</t>
  </si>
  <si>
    <t>17,1</t>
  </si>
  <si>
    <t>507-0980</t>
  </si>
  <si>
    <t>Фланцы стальные плоские приварные из стали ВСт3сп2, ВСт3сп3, давлением 1,0 МПа (10 кгс/см2), диаметром 25 мм</t>
  </si>
  <si>
    <t>ТССЦ Московской обл., 507-0980, приказ Минстроя России №675/пр от 28.02.2017 № 258/пр</t>
  </si>
  <si>
    <t>17,2</t>
  </si>
  <si>
    <t>302-1485</t>
  </si>
  <si>
    <t>Кран шаровой В-В размером 1"</t>
  </si>
  <si>
    <t>ТССЦ Московской обл., 302-1485, приказ Минстроя России №675/пр от 28.02.2017 № 256/пр</t>
  </si>
  <si>
    <t>18</t>
  </si>
  <si>
    <t>18-02-004-2</t>
  </si>
  <si>
    <t>Монтаж водонагревателей электрических накопительных (емкостных) объемом: свыше 50 до 100 л</t>
  </si>
  <si>
    <t>ТСНБ-2001 Московской области, 18-02-004-2, протокол от 24.05.2017 г. № 5</t>
  </si>
  <si>
    <t>Отопление - внутренние устройства</t>
  </si>
  <si>
    <t>ФЕР-18</t>
  </si>
  <si>
    <t>18,1</t>
  </si>
  <si>
    <t>18,2</t>
  </si>
  <si>
    <t>Цена поставщика</t>
  </si>
  <si>
    <t>Водонагреватели ELECTROLUX EWH 100 Formax</t>
  </si>
  <si>
    <t>ШТ</t>
  </si>
  <si>
    <t>ТССЦ-2001 Московской области, 301-9340, протокол от 24.05.2017 г. № 5</t>
  </si>
  <si>
    <t>19</t>
  </si>
  <si>
    <t>м08-03-593-6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</si>
  <si>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</si>
  <si>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100 шт.</t>
  </si>
  <si>
    <t>ТЕРм Московской обл., м08-03-593-6, приказ Минстроя России №675/пр от 28.02.2017 № 259/пр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</si>
  <si>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</si>
  <si>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</si>
  <si>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</si>
  <si>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*0,7</t>
  </si>
  <si>
    <t>*0,9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</si>
  <si>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</si>
  <si>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</si>
  <si>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</si>
  <si>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</si>
  <si>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</si>
  <si>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</si>
  <si>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</si>
  <si>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</si>
  <si>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</si>
  <si>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</si>
  <si>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</si>
  <si>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</si>
  <si>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</si>
  <si>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</si>
  <si>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</si>
  <si>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</si>
  <si>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</si>
  <si>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</si>
  <si>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</si>
  <si>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</si>
  <si>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</si>
  <si>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</si>
  <si>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</si>
  <si>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</si>
  <si>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</si>
  <si>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</si>
  <si>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</si>
  <si>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</si>
  <si>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</si>
  <si>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</si>
  <si>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</si>
  <si>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</si>
  <si>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</si>
  <si>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</si>
  <si>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</si>
  <si>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</si>
  <si>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</si>
  <si>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</si>
  <si>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</si>
  <si>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</si>
  <si>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</si>
  <si>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</si>
  <si>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</si>
  <si>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</si>
  <si>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</si>
  <si>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</si>
  <si>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</si>
  <si>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смете</t>
  </si>
  <si>
    <t>итог2</t>
  </si>
  <si>
    <t>Коэффициент на материалы и механизмы, приобретаемые со стороны при УСН</t>
  </si>
  <si>
    <t>итог3</t>
  </si>
  <si>
    <t>Расчетное значение коэффициента</t>
  </si>
  <si>
    <t>Итог4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</si>
  <si>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</si>
  <si>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</si>
  <si>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</si>
  <si>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</si>
  <si>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</si>
  <si>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</si>
  <si>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</si>
  <si>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</si>
  <si>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</si>
  <si>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</si>
  <si>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</si>
  <si>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</si>
  <si>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</si>
  <si>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</si>
  <si>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</si>
  <si>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</si>
  <si>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</si>
  <si>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</si>
  <si>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</si>
  <si>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</si>
  <si>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</si>
  <si>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</si>
  <si>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</si>
  <si>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</si>
  <si>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</si>
  <si>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</si>
  <si>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</si>
  <si>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</si>
  <si>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</si>
  <si>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</si>
  <si>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</si>
  <si>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</si>
  <si>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</si>
  <si>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</si>
  <si>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</si>
  <si>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</si>
  <si>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</si>
  <si>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</si>
  <si>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</si>
  <si>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</si>
  <si>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</si>
  <si>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</si>
  <si>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</si>
  <si>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</si>
  <si>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</si>
  <si>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</si>
  <si>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</si>
  <si>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</si>
  <si>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</si>
  <si>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</si>
  <si>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</si>
  <si>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</si>
  <si>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</si>
  <si>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</si>
  <si>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</si>
  <si>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</si>
  <si>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</si>
  <si>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</si>
  <si>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</si>
  <si>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</si>
  <si>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</si>
  <si>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</si>
  <si>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</si>
  <si>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ТСНБ-2001 Московской области (редакция 2014 г)</t>
  </si>
  <si>
    <t>Вид цен</t>
  </si>
  <si>
    <t>Московская область Каталог текущих цен на материалы, август 2020 г</t>
  </si>
  <si>
    <t>_OBSM_</t>
  </si>
  <si>
    <t>1-100-34-90</t>
  </si>
  <si>
    <t>Рабочий среднего разряда 3,4</t>
  </si>
  <si>
    <t>чел.-ч</t>
  </si>
  <si>
    <t>Затраты труда машинистов</t>
  </si>
  <si>
    <t>чел.час</t>
  </si>
  <si>
    <t>030951</t>
  </si>
  <si>
    <t>ТСЭМ-2001 Московской области, 030951, протокол от 24.05.2017 г. № 5</t>
  </si>
  <si>
    <t>Подъемники грузоподъемностью до 500 кг одномачтовые, высота подъема: 15 м</t>
  </si>
  <si>
    <t>маш.-ч</t>
  </si>
  <si>
    <t>134041</t>
  </si>
  <si>
    <t>ТСЭМ-2001 Московской области, 134041, протокол от 24.05.2017 г. № 5</t>
  </si>
  <si>
    <t>Шуруповерт</t>
  </si>
  <si>
    <t>331451</t>
  </si>
  <si>
    <t>ТСЭМ-2001 Московской области, 331451, протокол от 24.05.2017 г. № 5</t>
  </si>
  <si>
    <t>Перфораторы электрические</t>
  </si>
  <si>
    <t>101-2430</t>
  </si>
  <si>
    <t>ТССЦ-2001 Московской области, 101-2430, протокол от 24.05.2017 г. № 5</t>
  </si>
  <si>
    <t>Грунтовка: "Тифенгрунд", КНАУФ</t>
  </si>
  <si>
    <t>кг</t>
  </si>
  <si>
    <t>101-2438</t>
  </si>
  <si>
    <t>ТССЦ-2001 Московской области, 101-2438, протокол от 24.05.2017 г. № 5</t>
  </si>
  <si>
    <t>Шпаклевка "Фугенфюллер", КНАУФ</t>
  </si>
  <si>
    <t>101-2474</t>
  </si>
  <si>
    <t>ТССЦ-2001 Московской области, 101-2474, протокол от 24.05.2017 г. № 5</t>
  </si>
  <si>
    <t>Лента бумажная для повышения трещиностойкости стыков ГКЛ и ГВЛ</t>
  </si>
  <si>
    <t>101-2480</t>
  </si>
  <si>
    <t>ТССЦ-2001 Московской области, 101-2480, протокол от 24.05.2017 г. № 5</t>
  </si>
  <si>
    <t>Лента разделительная для сопряжения потолка из ЛГК со стеной</t>
  </si>
  <si>
    <t>101-2485</t>
  </si>
  <si>
    <t>ТССЦ-2001 Московской области, 101-2485, протокол от 24.05.2017 г. № 5</t>
  </si>
  <si>
    <t>Лента эластичная самоклеящаяся для профилей направляющих "Дихтунгсбанд": 50/30000 мм</t>
  </si>
  <si>
    <t>101-2582</t>
  </si>
  <si>
    <t>ТССЦ-2001 Московской области, 101-2582, протокол от 24.05.2017 г. № 5</t>
  </si>
  <si>
    <t>Шуруп самонарезающий: (LN) 3,5/9,5 мм</t>
  </si>
  <si>
    <t>101-2583</t>
  </si>
  <si>
    <t>ТССЦ-2001 Московской области, 101-2583, протокол от 24.05.2017 г. № 5</t>
  </si>
  <si>
    <t>Шуруп самонарезающий: (TN) 3,5/25 мм</t>
  </si>
  <si>
    <t>101-2590</t>
  </si>
  <si>
    <t>ТССЦ-2001 Московской области, 101-2590, протокол от 24.05.2017 г. № 5</t>
  </si>
  <si>
    <t>Дюбель с шурупом 6/35 мм</t>
  </si>
  <si>
    <t>201-0797</t>
  </si>
  <si>
    <t>ТССЦ-2001 Московской области, 201-0797, протокол от 24.05.2017 г. № 5</t>
  </si>
  <si>
    <t>Профиль направляющий: ПН 28/27/0,6</t>
  </si>
  <si>
    <t>201-0802</t>
  </si>
  <si>
    <t>ТССЦ-2001 Московской области, 201-0802, протокол от 24.05.2017 г. № 5</t>
  </si>
  <si>
    <t>Профиль потолочный: ПП 60/27/0,6</t>
  </si>
  <si>
    <t>201-0815</t>
  </si>
  <si>
    <t>ТССЦ-2001 Московской области, 201-0815, протокол от 24.05.2017 г. № 5</t>
  </si>
  <si>
    <t>Подвес прямой для ПП-профиля</t>
  </si>
  <si>
    <t>201-0823</t>
  </si>
  <si>
    <t>ТССЦ-2001 Московской области, 201-0823, протокол от 24.05.2017 г. № 5</t>
  </si>
  <si>
    <t>Соединители профилей: одноуровневые ПП</t>
  </si>
  <si>
    <t>411-0001</t>
  </si>
  <si>
    <t>ТССЦ-2001 Московской области, 411-0001, протокол от 24.05.2017 г. № 5</t>
  </si>
  <si>
    <t>Вода</t>
  </si>
  <si>
    <t>м3</t>
  </si>
  <si>
    <t>1-1036-90</t>
  </si>
  <si>
    <t>Рабочий строитель среднего разряда 3,6</t>
  </si>
  <si>
    <t>020129</t>
  </si>
  <si>
    <t>ТСЭМ Московской обл., 020129, приказ Минстроя России №675/пр от 21.09.2015 г.</t>
  </si>
  <si>
    <t>Краны башенные при работе на других видах строительства 8 т</t>
  </si>
  <si>
    <t>021141</t>
  </si>
  <si>
    <t>ТСЭМ Московской обл., 021141, приказ Минстроя России №675/пр от 21.09.2015 г.</t>
  </si>
  <si>
    <t>Краны на автомобильном ходу при работе на других видах строительства 10 т</t>
  </si>
  <si>
    <t>121011</t>
  </si>
  <si>
    <t>ТСЭМ Московской обл., 121011, приказ Минстроя России №675/пр от 21.09.2015 г.</t>
  </si>
  <si>
    <t>Котлы битумные передвижные 400 л</t>
  </si>
  <si>
    <t>400001</t>
  </si>
  <si>
    <t>ТСЭМ Московской обл., 400001, приказ Минстроя России №675/пр от 21.09.2015 г.</t>
  </si>
  <si>
    <t>Автомобили бортовые, грузоподъемность до 5 т</t>
  </si>
  <si>
    <t>101-0195</t>
  </si>
  <si>
    <t>ТССЦ Московской обл., 101-0195, приказ Минстроя России №675/пр от 21.09.2015 г.</t>
  </si>
  <si>
    <t>Гвозди толевые круглые 3,0х40 мм</t>
  </si>
  <si>
    <t>т</t>
  </si>
  <si>
    <t>101-1591</t>
  </si>
  <si>
    <t>ТССЦ Московской обл., 101-1591, приказ Минстроя России №675/пр от 21.09.2015 г.</t>
  </si>
  <si>
    <t>Смола каменноугольная для дорожного строительства</t>
  </si>
  <si>
    <t>101-1742</t>
  </si>
  <si>
    <t>ТССЦ Московской обл., 101-1742, приказ Минстроя России №675/пр от 21.09.2015 г.</t>
  </si>
  <si>
    <t>Толь с крупнозернистой посыпкой гидроизоляционный марки ТГ-350</t>
  </si>
  <si>
    <t>101-1789</t>
  </si>
  <si>
    <t>ТССЦ Московской обл., 101-1789, приказ Минстроя России №675/пр от 21.09.2015 г.</t>
  </si>
  <si>
    <t>Ерши металлические строительные</t>
  </si>
  <si>
    <t>101-1805</t>
  </si>
  <si>
    <t>ТССЦ Московской обл., 101-1805, приказ Минстроя России №675/пр от 21.09.2015 г.</t>
  </si>
  <si>
    <t>Гвозди строительные</t>
  </si>
  <si>
    <t>101-8052</t>
  </si>
  <si>
    <t>ТССЦ Московской обл., 101-8052, приказ Минстроя России №675/пр от 21.09.2015 г.</t>
  </si>
  <si>
    <t>Пена монтажная</t>
  </si>
  <si>
    <t>л</t>
  </si>
  <si>
    <t>102-0053</t>
  </si>
  <si>
    <t>ТССЦ Московской обл., 102-0053, приказ Минстроя России №675/пр от 21.09.2015 г.</t>
  </si>
  <si>
    <t>Доски обрезные хвойных пород длиной 4-6,5 м, шириной 75-150 мм, толщиной 25 мм, III сорта</t>
  </si>
  <si>
    <t>402-0087</t>
  </si>
  <si>
    <t>ТССЦ Московской обл., 402-0087, приказ Минстроя России №675/пр от 21.09.2015 г.</t>
  </si>
  <si>
    <t>Раствор готовый отделочный тяжелый, известковый 1:2,0</t>
  </si>
  <si>
    <t>405-0219</t>
  </si>
  <si>
    <t>ТССЦ Московской обл., 405-0219, приказ Минстроя России №675/пр от 21.09.2015 г.</t>
  </si>
  <si>
    <t>Гипсовые вяжущие, марка Г3</t>
  </si>
  <si>
    <t>1-1025-90</t>
  </si>
  <si>
    <t>Рабочий строитель среднего разряда 2,5</t>
  </si>
  <si>
    <t>203-0359</t>
  </si>
  <si>
    <t>ТССЦ Московской обл., 203-0359, приказ Минстроя России №675/пр от 21.09.2015 г.</t>
  </si>
  <si>
    <t>Наличники из древесины типа Н-1, Н-2 размером 13х54 мм</t>
  </si>
  <si>
    <t>030101</t>
  </si>
  <si>
    <t>ТСЭМ Московской обл., 030101, приказ Минстроя России №675/пр от 28.02.2017 № 264/пр</t>
  </si>
  <si>
    <t>Автопогрузчики 5 т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</si>
  <si>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</si>
  <si>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</si>
  <si>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</si>
  <si>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110901</t>
  </si>
  <si>
    <t>ТСЭМ Московской обл., 110901, приказ Минстроя России №675/пр от 28.02.2017 № 264/пр</t>
  </si>
  <si>
    <t>Растворосмесители передвижные 65 л</t>
  </si>
  <si>
    <t>101-0302</t>
  </si>
  <si>
    <t>ТССЦ Московской обл., 101-0302, приказ Минстроя России №675/пр от 28.02.2017 № 254/пр</t>
  </si>
  <si>
    <t>Комплекты для туалетной комнаты Т-7</t>
  </si>
  <si>
    <t>101-1757</t>
  </si>
  <si>
    <t>ТССЦ Московской обл., 101-1757, приказ Минстроя России №675/пр от 28.02.2017 № 254/пр</t>
  </si>
  <si>
    <t>Ветошь</t>
  </si>
  <si>
    <t>101-1776</t>
  </si>
  <si>
    <t>ТССЦ Московской обл., 101-1776, приказ Минстроя России №675/пр от 28.02.2017 № 254/пр</t>
  </si>
  <si>
    <t>Клей для облицовочных работ водостойкий «Плюс» (сухая смесь)</t>
  </si>
  <si>
    <t>402-0071</t>
  </si>
  <si>
    <t>ТССЦ Московской обл., 402-0071, приказ Минстроя России №675/пр от 28.02.2017 № 257/пр</t>
  </si>
  <si>
    <t>Смесь сухая (фуга) АТЛАС разных цветов для заделки швов водостойкая</t>
  </si>
  <si>
    <t>ТССЦ Московской обл., 411-0001, приказ Минстроя России №675/пр от 28.02.2017 № 257/пр</t>
  </si>
  <si>
    <t>1-100-32-90</t>
  </si>
  <si>
    <t>Рабочий среднего разряда 3,2</t>
  </si>
  <si>
    <t>ТСЭМ-2001 Московской области, 030101, протокол от 24.05.2017 г. № 5</t>
  </si>
  <si>
    <t>030953</t>
  </si>
  <si>
    <t>ТСЭМ-2001 Московской области, 030953, протокол от 24.05.2017 г. № 5</t>
  </si>
  <si>
    <t>Подъемники грузоподъемностью до 500 кг одномачтовые, высота подъема 35 м</t>
  </si>
  <si>
    <t>ТСЭМ-2001 Московской области, 110901, протокол от 24.05.2017 г. № 5</t>
  </si>
  <si>
    <t>339904</t>
  </si>
  <si>
    <t>ТСЭМ-2001 Московской области, 339904, протокол от 24.05.2017 г. № 5</t>
  </si>
  <si>
    <t>Плиткорез MAKITA RH 4101</t>
  </si>
  <si>
    <t>ТСЭМ-2001 Московской области, 400001, протокол от 24.05.2017 г. № 5</t>
  </si>
  <si>
    <t>ТССЦ-2001 Московской области, 101-1757, протокол от 24.05.2017 г. № 5</t>
  </si>
  <si>
    <t>101-1971</t>
  </si>
  <si>
    <t>ТССЦ-2001 Московской области, 101-1971, протокол от 24.05.2017 г. № 5</t>
  </si>
  <si>
    <t>Затирка «Старатели» (разной цветности)</t>
  </si>
  <si>
    <t>101-4368</t>
  </si>
  <si>
    <t>ТССЦ-2001 Московской области, 101-4368, протокол от 24.05.2017 г. № 5</t>
  </si>
  <si>
    <t>Клей плиточный «Юнис Гранит»</t>
  </si>
  <si>
    <t>101-5566</t>
  </si>
  <si>
    <t>ТССЦ-2001 Московской области, 101-5566, протокол от 24.05.2017 г. № 5</t>
  </si>
  <si>
    <t>Плитки керамогранитные размером 300х300х8 мм, бежевые</t>
  </si>
  <si>
    <t>1-1038-90</t>
  </si>
  <si>
    <t>Рабочий строитель среднего разряда 3,8</t>
  </si>
  <si>
    <t>331531</t>
  </si>
  <si>
    <t>ТСЭМ Московской обл., 331531, приказ Минстроя России №675/пр от 28.02.2017 № 264/пр</t>
  </si>
  <si>
    <t>Пила дисковая электрическая</t>
  </si>
  <si>
    <t>ТСЭМ Московской обл., 400001, приказ Минстроя России №675/пр от 28.02.2017 № 264/пр</t>
  </si>
  <si>
    <t>101-2962</t>
  </si>
  <si>
    <t>ТССЦ Московской обл., 101-2962, приказ Минстроя России №675/пр от 28.02.2017 № 254/пр</t>
  </si>
  <si>
    <t>Подложка под паркет и ламинат "Порилекс НПЭ", толщина 2 мм</t>
  </si>
  <si>
    <t>10 м2</t>
  </si>
  <si>
    <t>101-4658</t>
  </si>
  <si>
    <t>ТССЦ Московской обл., 101-4658, приказ Минстроя России №675/пр от 28.02.2017 № 254/пр</t>
  </si>
  <si>
    <t>Покрытие напольное ламинированное марки "Kronostar", 31 класс износостойкости, толщина 7 мм</t>
  </si>
  <si>
    <t>1-1032-90</t>
  </si>
  <si>
    <t>Рабочий строитель среднего разряда 3,2</t>
  </si>
  <si>
    <t>ТСЭМ Московской обл., 134041, приказ Минстроя России №675/пр от 28.02.2017 № 264/пр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</si>
  <si>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</si>
  <si>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</si>
  <si>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</si>
  <si>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101-4282</t>
  </si>
  <si>
    <t>ТССЦ Московской обл., 101-4282, приказ Минстроя России №675/пр от 28.02.2017 № 254/пр</t>
  </si>
  <si>
    <t>Винты самонарезающие остроконечные длиной 35 мм</t>
  </si>
  <si>
    <t>ТСЭМ Московской обл., 021141, приказ Минстроя России №675/пр от 28.02.2017 № 264/пр</t>
  </si>
  <si>
    <t>030404</t>
  </si>
  <si>
    <t>ТСЭМ Московской обл., 030404, приказ Минстроя России №675/пр от 28.02.2017 № 264/пр</t>
  </si>
  <si>
    <t>Лебедки электрические тяговым усилием до 31,39 кН (3,2 т)</t>
  </si>
  <si>
    <t>206-1336</t>
  </si>
  <si>
    <t>ТССЦ Московской обл., 206-1336, приказ Минстроя России №675/пр от 28.02.2017 № 255/пр</t>
  </si>
  <si>
    <t>Рейка алюминиевая потолочная 100 мм</t>
  </si>
  <si>
    <t>206-1337</t>
  </si>
  <si>
    <t>ТССЦ Московской обл., 206-1337, приказ Минстроя России №675/пр от 28.02.2017 № 255/пр</t>
  </si>
  <si>
    <t>Гребенка несущая</t>
  </si>
  <si>
    <t>206-1339</t>
  </si>
  <si>
    <t>ТССЦ Московской обл., 206-1339, приказ Минстроя России №675/пр от 28.02.2017 № 255/пр</t>
  </si>
  <si>
    <t>Подвес в комплекте</t>
  </si>
  <si>
    <t>1-1034-90</t>
  </si>
  <si>
    <t>Рабочий строитель среднего разряда 3,4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</si>
  <si>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</si>
  <si>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</si>
  <si>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</si>
  <si>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101-1522</t>
  </si>
  <si>
    <t>ТССЦ Московской обл., 101-1522, приказ Минстроя России №675/пр от 28.02.2017 № 254/пр</t>
  </si>
  <si>
    <t>Электроды диаметром 5 мм Э42А</t>
  </si>
  <si>
    <t>101-1714</t>
  </si>
  <si>
    <t>ТССЦ Московской обл., 101-1714, приказ Минстроя России №675/пр от 28.02.2017 № 254/пр</t>
  </si>
  <si>
    <t>Болты с гайками и шайбами строительные</t>
  </si>
  <si>
    <t>204-0004</t>
  </si>
  <si>
    <t>ТССЦ Московской обл., 204-0004, приказ Минстроя России №675/пр от 28.02.2017 № 255/пр</t>
  </si>
  <si>
    <t>Горячекатаная арматурная сталь гладкая класса А-I, диаметром 12 мм</t>
  </si>
  <si>
    <t>301-0605</t>
  </si>
  <si>
    <t>ТССЦ Московской обл., 301-0605, приказ Минстроя России №675/пр от 28.02.2017 № 256/пр</t>
  </si>
  <si>
    <t>Решетки нерегулируемые марка РШ-200, размер 252х252 мм</t>
  </si>
  <si>
    <t>1-1040-90</t>
  </si>
  <si>
    <t>Рабочий строитель среднего разряда 4</t>
  </si>
  <si>
    <t>101-0311</t>
  </si>
  <si>
    <t>ТССЦ Московской обл., 101-0311, приказ Минстроя России №675/пр от 28.02.2017 № 254/пр</t>
  </si>
  <si>
    <t>Каболка</t>
  </si>
  <si>
    <t>101-0388</t>
  </si>
  <si>
    <t>ТССЦ Московской обл., 101-0388, приказ Минстроя России №675/пр от 28.02.2017 № 254/пр</t>
  </si>
  <si>
    <t>Краски масляные земляные марки МА-0115 мумия, сурик железный</t>
  </si>
  <si>
    <t>101-0628</t>
  </si>
  <si>
    <t>ТССЦ Московской обл., 101-0628, приказ Минстроя России №675/пр от 28.02.2017 № 254/пр</t>
  </si>
  <si>
    <t>Олифа комбинированная, марки К-3</t>
  </si>
  <si>
    <t>101-1355</t>
  </si>
  <si>
    <t>ТССЦ Московской обл., 101-1355, приказ Минстроя России №675/пр от 28.02.2017 № 254/пр</t>
  </si>
  <si>
    <t>Цемент гипсоглиноземистый расширяющийся</t>
  </si>
  <si>
    <t>101-1669</t>
  </si>
  <si>
    <t>ТССЦ Московской обл., 101-1669, приказ Минстроя России №675/пр от 28.02.2017 № 254/пр</t>
  </si>
  <si>
    <t>Очес льняной</t>
  </si>
  <si>
    <t>101-2574</t>
  </si>
  <si>
    <t>ТССЦ Московской обл., 101-2574, приказ Минстроя России №675/пр от 28.02.2017 № 254/пр</t>
  </si>
  <si>
    <t>Болты с гайками и шайбами для санитарно-технических работ диаметром 10 мм</t>
  </si>
  <si>
    <t>1-1039-90</t>
  </si>
  <si>
    <t>Рабочий строитель среднего разряда 3,9</t>
  </si>
  <si>
    <t>101-0849</t>
  </si>
  <si>
    <t>ТССЦ Московской обл., 101-0849, приказ Минстроя России №675/пр от 28.02.2017 № 254/пр</t>
  </si>
  <si>
    <t>Пластина резиновая рулонная вулканизированная</t>
  </si>
  <si>
    <t>101-1847</t>
  </si>
  <si>
    <t>ТССЦ Московской обл., 101-1847, приказ Минстроя России №675/пр от 28.02.2017 № 254/пр</t>
  </si>
  <si>
    <t>Замазка защитная</t>
  </si>
  <si>
    <t>101-2184</t>
  </si>
  <si>
    <t>ТССЦ Московской обл., 101-2184, приказ Минстроя России №675/пр от 28.02.2017 № 254/пр</t>
  </si>
  <si>
    <t>Шурупы с полукруглой головкой 6х60 мм</t>
  </si>
  <si>
    <t>101-2203</t>
  </si>
  <si>
    <t>ТССЦ Московской обл., 101-2203, приказ Минстроя России №675/пр от 28.02.2017 № 254/пр</t>
  </si>
  <si>
    <t>Дюбели распорные полиэтиленовые 8х30 мм</t>
  </si>
  <si>
    <t>1000 шт.</t>
  </si>
  <si>
    <t>113-0074</t>
  </si>
  <si>
    <t>ТССЦ Московской обл., 113-0074, приказ Минстроя России №675/пр от 28.02.2017 № 254/пр</t>
  </si>
  <si>
    <t>Клей фенолполивинилацетатный марки БФ-2, сорт I</t>
  </si>
  <si>
    <t>301-1521</t>
  </si>
  <si>
    <t>ТССЦ Московской обл., 301-1521, приказ Минстроя России №675/пр от 28.02.2017 № 256/пр</t>
  </si>
  <si>
    <t>Унитаз-компакт «Комфорт»</t>
  </si>
  <si>
    <t>509-1792</t>
  </si>
  <si>
    <t>ТССЦ Московской обл., 509-1792, приказ Минстроя России №675/пр от 28.02.2017 № 258/пр</t>
  </si>
  <si>
    <t>Скобы скрепляющие и для подвеса</t>
  </si>
  <si>
    <t>ТСНБ-2001 Московская обл распоряжение № 51от 06.09.2011г. 030954</t>
  </si>
  <si>
    <t>ТСНБ-2001 Московская обл распоряжение № 51от 06.09.2011г. 330206</t>
  </si>
  <si>
    <t>ТСНБ-2001 Московская обл распоряжение № 51от 06.09.2011г. 400001</t>
  </si>
  <si>
    <t>ТСНБ-2001 Московская обл 101-0388</t>
  </si>
  <si>
    <t>ТСНБ-2001 Московская обл 101-0628</t>
  </si>
  <si>
    <t>101-0782</t>
  </si>
  <si>
    <t>ТСНБ-2001 Московская обл 101-0782</t>
  </si>
  <si>
    <t>Поковки из квадратных заготовок, масса 1,8 кг</t>
  </si>
  <si>
    <t>ТСНБ-2001 Московская обл 101-1669</t>
  </si>
  <si>
    <t>ТСНБ-2001 Московская обл 101-1847</t>
  </si>
  <si>
    <t>101-2186</t>
  </si>
  <si>
    <t>ТСНБ-2001 Московская обл 101-2186</t>
  </si>
  <si>
    <t>Шурупы с полукруглой головкой 6х90 мм</t>
  </si>
  <si>
    <t>101-2204</t>
  </si>
  <si>
    <t>ТСНБ-2001 Московская обл 101-2204</t>
  </si>
  <si>
    <t>Дюбели распорные полиэтиленовые 8х40 мм</t>
  </si>
  <si>
    <t>ТСЭМ Московской обл., 330206, приказ Минстроя России №675/пр от 21.09.2015 г.</t>
  </si>
  <si>
    <t>ТССЦ Московской обл., 101-0388, приказ Минстроя России №675/пр от 21.09.2015 г.</t>
  </si>
  <si>
    <t>ТССЦ Московской обл., 101-0628, приказ Минстроя России №675/пр от 21.09.2015 г.</t>
  </si>
  <si>
    <t>ТССЦ Московской обл., 101-1669, приказ Минстроя России №675/пр от 21.09.2015 г.</t>
  </si>
  <si>
    <t>101-2181</t>
  </si>
  <si>
    <t>ТССЦ Московской обл., 101-2181, приказ Минстроя России №675/пр от 21.09.2015 г.</t>
  </si>
  <si>
    <t>Шурупы с полукруглой головкой 5х35 мм</t>
  </si>
  <si>
    <t>101-2201</t>
  </si>
  <si>
    <t>ТССЦ Московской обл., 101-2201, приказ Минстроя России №675/пр от 21.09.2015 г.</t>
  </si>
  <si>
    <t>Дюбели распорные полиэтиленовые 6х30 мм</t>
  </si>
  <si>
    <t>1-100-39-90</t>
  </si>
  <si>
    <t>Рабочий среднего разряда 3,9</t>
  </si>
  <si>
    <t>020128</t>
  </si>
  <si>
    <t>ТСЭМ-2001 Московской области, 020128, протокол от 24.05.2017 г. № 5</t>
  </si>
  <si>
    <t>Краны башенные при работе на других видах строительства: 5 т</t>
  </si>
  <si>
    <t>021140</t>
  </si>
  <si>
    <t>ТСЭМ-2001 Московской области, 021140, протокол от 24.05.2017 г. № 5</t>
  </si>
  <si>
    <t>Краны на автомобильном ходу при работе на других видах строительства 6,3 т</t>
  </si>
  <si>
    <t>042900</t>
  </si>
  <si>
    <t>ТСЭМ-2001 Московской области, 042900, протокол от 24.05.2017 г. № 5</t>
  </si>
  <si>
    <t>Установки для гидравлических испытаний трубопроводов, давление нагнетания: низкое 0,1 МПа (1 кгс/см2), высокое 10 МПа (100 кгс/см2)</t>
  </si>
  <si>
    <t>392212</t>
  </si>
  <si>
    <t>ТСЭМ-2001 Московской области, 392212, протокол от 24.05.2017 г. № 5</t>
  </si>
  <si>
    <t>Аппарат для полуавтоматической сварки полиэтиленовых труб "встык"</t>
  </si>
  <si>
    <t>101-2202</t>
  </si>
  <si>
    <t>ТССЦ-2001 Московской области, 101-2202, протокол от 24.05.2017 г. № 5</t>
  </si>
  <si>
    <t>Дюбели распорные полиэтиленовые: 6х40 мм</t>
  </si>
  <si>
    <t>101-4613</t>
  </si>
  <si>
    <t>ТССЦ-2001 Московской области, 101-4613, протокол от 24.05.2017 г. № 5</t>
  </si>
  <si>
    <t>Винты с полукруглой головкой размером: 5,0х40 мм</t>
  </si>
  <si>
    <t>405-1601</t>
  </si>
  <si>
    <t>ТССЦ-2001 Московской области, 405-1601, протокол от 24.05.2017 г. № 5</t>
  </si>
  <si>
    <t>Известь строительная: негашеная хлорная, марки А</t>
  </si>
  <si>
    <t>1-1042-90</t>
  </si>
  <si>
    <t>Рабочий строитель среднего разряда 4,2</t>
  </si>
  <si>
    <t>ТСЭМ Московской обл., 020129, приказ Минстроя России №675/пр от 28.02.2017 № 264/пр</t>
  </si>
  <si>
    <t>101-2449</t>
  </si>
  <si>
    <t>ТССЦ Московской обл., 101-2449, приказ Минстроя России №675/пр от 28.02.2017 № 254/пр</t>
  </si>
  <si>
    <t>Кольца резиновые для чугунных напорных труб диаметром 50-300 мм</t>
  </si>
  <si>
    <t>101-2576</t>
  </si>
  <si>
    <t>ТССЦ Московской обл., 101-2576, приказ Минстроя России №675/пр от 28.02.2017 № 254/пр</t>
  </si>
  <si>
    <t>Болты с гайками и шайбами для санитарно-технических работ диаметром 16 мм</t>
  </si>
  <si>
    <t>302-3339</t>
  </si>
  <si>
    <t>ТССЦ Московской обл., 302-3339, приказ Минстроя России №675/пр от 28.02.2017 № 256/пр</t>
  </si>
  <si>
    <t>Трубопроводы канализации из полиэтиленовых труб высокой плотности с гильзами, диаметром 50 мм</t>
  </si>
  <si>
    <t>1-1035-90</t>
  </si>
  <si>
    <t>Рабочий строитель среднего разряда 3,5</t>
  </si>
  <si>
    <t>101-2575</t>
  </si>
  <si>
    <t>ТССЦ Московской обл., 101-2575, приказ Минстроя России №675/пр от 28.02.2017 № 254/пр</t>
  </si>
  <si>
    <t>Болты с гайками и шайбами для санитарно-технических работ диаметром 12 мм</t>
  </si>
  <si>
    <t>509-0966</t>
  </si>
  <si>
    <t>ТССЦ Московской обл., 509-0966, приказ Минстроя России №675/пр от 28.02.2017 № 258/пр</t>
  </si>
  <si>
    <t>Прокладки из паронита марки ПМБ, толщиной 1 мм, диаметром 50 мм</t>
  </si>
  <si>
    <t>1-100-30-90</t>
  </si>
  <si>
    <t>Рабочий среднего разряда 3,0</t>
  </si>
  <si>
    <t>ТСЭМ-2001 Московской области, 330206, протокол от 24.05.2017 г. № 5</t>
  </si>
  <si>
    <t>101-2488</t>
  </si>
  <si>
    <t>ТССЦ-2001 Московской области, 101-2488, протокол от 24.05.2017 г. № 5</t>
  </si>
  <si>
    <t>Лента ФУМ</t>
  </si>
  <si>
    <t>1-2042-90</t>
  </si>
  <si>
    <t>Рабочий монтажник среднего разряда 4,2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</si>
  <si>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</si>
  <si>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</si>
  <si>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</si>
  <si>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101-0115</t>
  </si>
  <si>
    <t>ТССЦ Московской обл., 101-0115, приказ Минстроя России №675/пр от 28.02.2017 № 254/пр</t>
  </si>
  <si>
    <t>Винты с полукруглой головкой длиной 50 мм</t>
  </si>
  <si>
    <t>101-2499</t>
  </si>
  <si>
    <t>ТССЦ Московской обл., 101-2499, приказ Минстроя России №675/пр от 28.02.2017 № 254/пр</t>
  </si>
  <si>
    <t>Лента изоляционная прорезиненная односторонняя ширина 20 мм, толщина 0,25-0,35 мм</t>
  </si>
  <si>
    <t>101-3914</t>
  </si>
  <si>
    <t>ТССЦ Московской обл., 101-3914, приказ Минстроя России №675/пр от 28.02.2017 № 254/пр</t>
  </si>
  <si>
    <t>Дюбели распорные полипропиленовые</t>
  </si>
  <si>
    <t>509-0167</t>
  </si>
  <si>
    <t>ТССЦ Московской обл., 509-0167, приказ Минстроя России №675/пр от 28.02.2017 № 258/пр</t>
  </si>
  <si>
    <t>Сжимы соединительные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</si>
  <si>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</si>
  <si>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</si>
  <si>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</si>
  <si>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</si>
  <si>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101-9154</t>
  </si>
  <si>
    <t>ТССЦ-2001 Московской области, 101-9154, протокол от 24.05.2017 г. № 5</t>
  </si>
  <si>
    <t>Листы гипсокартонные</t>
  </si>
  <si>
    <t>101-9411</t>
  </si>
  <si>
    <t>ТССЦ Московской обл., 101-9411, приказ Минстроя России №675/пр от 21.09.2015 г.</t>
  </si>
  <si>
    <t>Скобяные изделия</t>
  </si>
  <si>
    <t>206-9002</t>
  </si>
  <si>
    <t>ТССЦ Московской обл., 206-9002, приказ Минстроя России №675/пр от 28.02.2017 № 255/пр</t>
  </si>
  <si>
    <t>Профили стыкоперекрывающие из алюминиевых сплавов (порожки) с покрытием</t>
  </si>
  <si>
    <t>103-9911</t>
  </si>
  <si>
    <t>ТССЦ-2001 Московской области, 103-9911, протокол от 24.05.2017 г. № 5</t>
  </si>
  <si>
    <t>Фасонные и соединительные части к полипропиленовым трубам</t>
  </si>
  <si>
    <t>301-9690</t>
  </si>
  <si>
    <t>ТССЦ-2001 Московской области, 301-9690, протокол от 24.05.2017 г. № 5</t>
  </si>
  <si>
    <t>Хомуты для крепления труб</t>
  </si>
  <si>
    <t>302-9012</t>
  </si>
  <si>
    <t>ТССЦ-2001 Московской области, 302-9012, протокол от 24.05.2017 г. № 5</t>
  </si>
  <si>
    <t>Арматура трубопроводная</t>
  </si>
  <si>
    <t>507-9004</t>
  </si>
  <si>
    <t>ТССЦ-2001 Московской области, 507-9004, протокол от 24.05.2017 г. № 5</t>
  </si>
  <si>
    <t>Трубы пластмассовые</t>
  </si>
  <si>
    <t>10 м</t>
  </si>
  <si>
    <t>507-9040</t>
  </si>
  <si>
    <t>ТССЦ-2001 Московской области, 507-9040, протокол от 24.05.2017 г. № 5</t>
  </si>
  <si>
    <t>Фитинги полипропиленовые</t>
  </si>
  <si>
    <t>301-9240</t>
  </si>
  <si>
    <t>ТССЦ Московской обл., 301-9240, приказ Минстроя России №675/пр от 28.02.2017 № 256/пр</t>
  </si>
  <si>
    <t>Крепления</t>
  </si>
  <si>
    <t>302-9120</t>
  </si>
  <si>
    <t>ТССЦ Московской обл., 302-9120, приказ Минстроя России №675/пр от 28.02.2017 № 256/пр</t>
  </si>
  <si>
    <t>Задвижки</t>
  </si>
  <si>
    <t>302-9009</t>
  </si>
  <si>
    <t>ТССЦ Московской обл., 302-9009, приказ Минстроя России №675/пр от 28.02.2017 № 256/пр</t>
  </si>
  <si>
    <t>Арматура трубопроводная фланцевая</t>
  </si>
  <si>
    <t>301-9340</t>
  </si>
  <si>
    <t>Приборы</t>
  </si>
  <si>
    <t>507-9005</t>
  </si>
  <si>
    <t>ТССЦ-2001 Московской области, 507-9005, протокол от 24.05.2017 г. № 5</t>
  </si>
  <si>
    <t>Трубы полиэтиленовые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</si>
  <si>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</si>
  <si>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Поправка: МДС 81-35.2004, п.4.7  Наименование: 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</si>
  <si>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"СОГЛАСОВАНО"</t>
  </si>
  <si>
    <t>"УТВЕРЖДАЮ"</t>
  </si>
  <si>
    <t>"_____"________________ 2020 г.</t>
  </si>
  <si>
    <t>(наименование стройки)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</si>
  <si>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</si>
  <si>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</si>
  <si>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</si>
  <si>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</si>
  <si>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</si>
  <si>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</si>
  <si>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</si>
  <si>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</si>
  <si>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</si>
  <si>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</si>
  <si>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</si>
  <si>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</si>
  <si>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</si>
  <si>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</si>
  <si>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</si>
  <si>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</si>
  <si>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</si>
  <si>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</si>
  <si>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</si>
  <si>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</si>
  <si>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</si>
  <si>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</si>
  <si>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</si>
  <si>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</si>
  <si>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ТСНБ-2001 Московской области (редакция 2014 г) август 2020 года и Московская область Каталог текущих цен на материалы, август 2020 г</t>
  </si>
  <si>
    <t>Зарплата</t>
  </si>
  <si>
    <t>в т.ч. зарплата машинистов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</si>
  <si>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</si>
  <si>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</si>
  <si>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</si>
  <si>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</si>
  <si>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</si>
  <si>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</si>
  <si>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r>
      <t>Уголок декоративный (пристенный)</t>
    </r>
    <r>
      <rPr>
        <i/>
        <sz val="10"/>
        <rFont val="Arial"/>
        <family val="2"/>
      </rPr>
      <t xml:space="preserve">
Базисная стоимость: 6,36 - занесена вручную</t>
    </r>
  </si>
  <si>
    <r>
      <t>Кабина душевая 800х800х1975 мм с пластиковым поддоном</t>
    </r>
    <r>
      <rPr>
        <i/>
        <sz val="10"/>
        <rFont val="Arial"/>
        <family val="2"/>
      </rPr>
      <t xml:space="preserve">
Базисная стоимость: 7 930,00 - занесена вручную</t>
    </r>
  </si>
  <si>
    <r>
      <t>Смеситель одноручный Rossinka  Y35-22  с поворотным изливом для умывальника. Материал: латунь. Комплект: набор крепления, комплект подводки, пластиковый аэратор, керамический картридж 35 мм.</t>
    </r>
    <r>
      <rPr>
        <i/>
        <sz val="10"/>
        <rFont val="Arial"/>
        <family val="2"/>
      </rPr>
      <t xml:space="preserve">
Базисная стоимость: 1 194,78 - занесена вручную</t>
    </r>
  </si>
  <si>
    <r>
      <t>Фланцы стальные плоские приварные из стали ВСт3сп2, ВСт3сп3, давлением 1,0 МПа (10 кгс/см2), диаметром 25 мм</t>
    </r>
    <r>
      <rPr>
        <i/>
        <sz val="10"/>
        <rFont val="Arial"/>
        <family val="2"/>
      </rPr>
      <t xml:space="preserve">
Базисная стоимость: 16,80 - занесена вручную</t>
    </r>
  </si>
  <si>
    <r>
      <t>Водонагреватели ELECTROLUX EWH 100 Formax</t>
    </r>
    <r>
      <rPr>
        <i/>
        <sz val="10"/>
        <rFont val="Arial"/>
        <family val="2"/>
      </rPr>
      <t xml:space="preserve">
Базисная стоимость: 19 816,79 - занесена вручную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</si>
  <si>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</si>
  <si>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</si>
  <si>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</si>
  <si>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</si>
  <si>
    <t>Итого:</t>
  </si>
  <si>
    <t>энергосбережения  здания и обеспечения  работы учреждения.</t>
  </si>
  <si>
    <t xml:space="preserve">на  выполнение  работ  по подготовке помещений  ДМШ № 2 к зимнему  периоду в рамках  повышения </t>
  </si>
  <si>
    <t>140005, Московская  область, г. Люберцы,ул. Смирновская, д.5А</t>
  </si>
  <si>
    <t xml:space="preserve">Директор МУДО </t>
  </si>
  <si>
    <t>"Детская музыкальная  школа № 2"</t>
  </si>
  <si>
    <t>__________________Т.С. Матвеева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</si>
</sst>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#,##0.00####;[Red]\-\ #,##0.00####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0" fontId="33" fillId="0" borderId="0" xfId="0" applyFont="1" applyAlignment="1">
      <alignment vertical="center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3" fillId="0" borderId="0" xfId="0" applyFont="1" applyAlignment="1">
      <alignment horizontal="right"/>
    </xf>
    <xf numFmtId="176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35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177" fontId="30" fillId="0" borderId="0" xfId="0" applyNumberFormat="1" applyFont="1" applyAlignment="1">
      <alignment horizontal="right"/>
    </xf>
    <xf numFmtId="176" fontId="30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0" fillId="0" borderId="0" xfId="0" applyFont="1" applyAlignment="1">
      <alignment wrapText="1"/>
    </xf>
    <xf numFmtId="176" fontId="35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right" wrapText="1"/>
    </xf>
    <xf numFmtId="176" fontId="29" fillId="0" borderId="0" xfId="0" applyNumberFormat="1" applyFont="1" applyAlignment="1">
      <alignment horizontal="right"/>
    </xf>
    <xf numFmtId="0" fontId="30" fillId="0" borderId="0" xfId="0" applyFont="1" applyAlignment="1" quotePrefix="1">
      <alignment horizontal="right" wrapText="1"/>
    </xf>
    <xf numFmtId="176" fontId="0" fillId="0" borderId="0" xfId="0" applyNumberFormat="1" applyAlignment="1">
      <alignment/>
    </xf>
    <xf numFmtId="176" fontId="33" fillId="0" borderId="0" xfId="0" applyNumberFormat="1" applyFont="1" applyAlignment="1">
      <alignment horizontal="right"/>
    </xf>
    <xf numFmtId="176" fontId="36" fillId="0" borderId="0" xfId="0" applyNumberFormat="1" applyFont="1" applyAlignment="1">
      <alignment horizontal="right"/>
    </xf>
    <xf numFmtId="0" fontId="30" fillId="0" borderId="11" xfId="0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right" wrapText="1"/>
    </xf>
    <xf numFmtId="0" fontId="30" fillId="0" borderId="11" xfId="0" applyFont="1" applyBorder="1" applyAlignment="1">
      <alignment horizontal="right"/>
    </xf>
    <xf numFmtId="177" fontId="30" fillId="0" borderId="11" xfId="0" applyNumberFormat="1" applyFont="1" applyBorder="1" applyAlignment="1">
      <alignment horizontal="right"/>
    </xf>
    <xf numFmtId="0" fontId="30" fillId="0" borderId="11" xfId="0" applyFont="1" applyBorder="1" applyAlignment="1" quotePrefix="1">
      <alignment horizontal="right" wrapText="1"/>
    </xf>
    <xf numFmtId="176" fontId="30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horizontal="right" wrapText="1"/>
    </xf>
    <xf numFmtId="0" fontId="29" fillId="0" borderId="11" xfId="0" applyFont="1" applyBorder="1" applyAlignment="1">
      <alignment horizontal="right"/>
    </xf>
    <xf numFmtId="176" fontId="29" fillId="0" borderId="11" xfId="0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30" fillId="0" borderId="0" xfId="0" applyFont="1" applyAlignment="1" quotePrefix="1">
      <alignment horizontal="left" wrapText="1"/>
    </xf>
    <xf numFmtId="0" fontId="30" fillId="0" borderId="0" xfId="0" applyFont="1" applyAlignment="1">
      <alignment vertical="center"/>
    </xf>
    <xf numFmtId="0" fontId="30" fillId="0" borderId="11" xfId="0" applyFont="1" applyBorder="1" applyAlignment="1">
      <alignment/>
    </xf>
    <xf numFmtId="0" fontId="29" fillId="0" borderId="10" xfId="0" applyFont="1" applyBorder="1" applyAlignment="1">
      <alignment horizontal="center" vertical="top"/>
    </xf>
    <xf numFmtId="0" fontId="34" fillId="0" borderId="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4" fillId="0" borderId="0" xfId="0" applyFont="1" applyBorder="1" applyAlignment="1">
      <alignment wrapText="1"/>
    </xf>
    <xf numFmtId="0" fontId="37" fillId="0" borderId="11" xfId="0" applyFont="1" applyBorder="1" applyAlignment="1">
      <alignment horizontal="left" wrapText="1"/>
    </xf>
    <xf numFmtId="0" fontId="37" fillId="0" borderId="14" xfId="0" applyFont="1" applyBorder="1" applyAlignment="1">
      <alignment horizontal="left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ht="12.75">
      <c r="A1" s="9" t="str">
        <f>Source!B1</f>
        <v>Smeta.RU  (495) 974-1589</v>
      </c>
    </row>
    <row r="2" spans="1:12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  <c r="L2" s="11"/>
    </row>
    <row r="3" spans="1:12" ht="16.5">
      <c r="A3" s="12"/>
      <c r="B3" s="13" t="s">
        <v>713</v>
      </c>
      <c r="C3" s="13"/>
      <c r="D3" s="13"/>
      <c r="E3" s="13"/>
      <c r="F3" s="11"/>
      <c r="G3" s="11"/>
      <c r="H3" s="13" t="s">
        <v>714</v>
      </c>
      <c r="I3" s="13"/>
      <c r="J3" s="13"/>
      <c r="K3" s="13"/>
      <c r="L3" s="13"/>
    </row>
    <row r="4" spans="1:12" ht="16.5">
      <c r="A4" s="12"/>
      <c r="B4" s="81"/>
      <c r="C4" s="81"/>
      <c r="D4" s="81"/>
      <c r="E4" s="81"/>
      <c r="F4" s="11"/>
      <c r="G4" s="11"/>
      <c r="H4" s="81"/>
      <c r="I4" s="81"/>
      <c r="J4" s="81"/>
      <c r="K4" s="81"/>
      <c r="L4" s="81"/>
    </row>
    <row r="5" spans="1:12" ht="18">
      <c r="A5" s="82"/>
      <c r="B5" s="83"/>
      <c r="C5" s="83"/>
      <c r="D5" s="83"/>
      <c r="E5" s="83"/>
      <c r="F5" s="71"/>
      <c r="G5" s="71"/>
      <c r="H5" s="84" t="s">
        <v>763</v>
      </c>
      <c r="I5" s="84"/>
      <c r="J5" s="84"/>
      <c r="K5" s="84"/>
      <c r="L5" s="83"/>
    </row>
    <row r="6" spans="1:12" ht="18">
      <c r="A6" s="71"/>
      <c r="B6" s="80"/>
      <c r="C6" s="80"/>
      <c r="D6" s="80"/>
      <c r="E6" s="80"/>
      <c r="F6" s="71"/>
      <c r="G6" s="71"/>
      <c r="H6" s="80" t="s">
        <v>764</v>
      </c>
      <c r="I6" s="80"/>
      <c r="J6" s="80"/>
      <c r="K6" s="80"/>
      <c r="L6" s="80"/>
    </row>
    <row r="7" spans="1:12" ht="18">
      <c r="A7" s="77"/>
      <c r="B7" s="77"/>
      <c r="C7" s="78"/>
      <c r="D7" s="78"/>
      <c r="E7" s="78"/>
      <c r="F7" s="71"/>
      <c r="G7" s="71"/>
      <c r="H7" s="79"/>
      <c r="I7" s="78"/>
      <c r="J7" s="78"/>
      <c r="K7" s="78"/>
      <c r="L7" s="79"/>
    </row>
    <row r="8" spans="1:12" ht="18">
      <c r="A8" s="77"/>
      <c r="B8" s="77"/>
      <c r="C8" s="78"/>
      <c r="D8" s="78"/>
      <c r="E8" s="78"/>
      <c r="F8" s="71"/>
      <c r="G8" s="71"/>
      <c r="H8" s="79"/>
      <c r="I8" s="78"/>
      <c r="J8" s="78"/>
      <c r="K8" s="78"/>
      <c r="L8" s="79"/>
    </row>
    <row r="9" spans="1:12" ht="18">
      <c r="A9" s="79"/>
      <c r="B9" s="80" t="str">
        <f>CONCATENATE("______________________ ",IF(Source!AL12&lt;&gt;"",Source!AL12,""))</f>
        <v>______________________ </v>
      </c>
      <c r="C9" s="80"/>
      <c r="D9" s="80"/>
      <c r="E9" s="80"/>
      <c r="F9" s="71"/>
      <c r="G9" s="71"/>
      <c r="H9" s="80" t="s">
        <v>765</v>
      </c>
      <c r="I9" s="80"/>
      <c r="J9" s="80"/>
      <c r="K9" s="80"/>
      <c r="L9" s="80"/>
    </row>
    <row r="10" spans="1:12" ht="14.25">
      <c r="A10" s="14"/>
      <c r="B10" s="15" t="s">
        <v>715</v>
      </c>
      <c r="C10" s="15"/>
      <c r="D10" s="15"/>
      <c r="E10" s="15"/>
      <c r="F10" s="11"/>
      <c r="G10" s="11"/>
      <c r="H10" s="15" t="s">
        <v>715</v>
      </c>
      <c r="I10" s="15"/>
      <c r="J10" s="15"/>
      <c r="K10" s="15"/>
      <c r="L10" s="15"/>
    </row>
    <row r="13" spans="1:12" ht="18">
      <c r="A13" s="75"/>
      <c r="B13" s="76" t="s">
        <v>762</v>
      </c>
      <c r="C13" s="76"/>
      <c r="D13" s="76"/>
      <c r="E13" s="76"/>
      <c r="F13" s="76"/>
      <c r="G13" s="76"/>
      <c r="H13" s="76"/>
      <c r="I13" s="76"/>
      <c r="J13" s="76"/>
      <c r="K13" s="76"/>
      <c r="L13" s="75"/>
    </row>
    <row r="14" spans="1:12" ht="14.25">
      <c r="A14" s="17"/>
      <c r="B14" s="18" t="s">
        <v>716</v>
      </c>
      <c r="C14" s="18"/>
      <c r="D14" s="18"/>
      <c r="E14" s="18"/>
      <c r="F14" s="18"/>
      <c r="G14" s="18"/>
      <c r="H14" s="18"/>
      <c r="I14" s="18"/>
      <c r="J14" s="18"/>
      <c r="K14" s="18"/>
      <c r="L14" s="14"/>
    </row>
    <row r="15" spans="1:12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30" ht="15.75">
      <c r="A17" s="20"/>
      <c r="B17" s="16" t="str">
        <f>CONCATENATE("ЛОКАЛЬНАЯ СМЕТА № ",IF(Source!F12&lt;&gt;"Новый объект",Source!F12,""))</f>
        <v>ЛОКАЛЬНАЯ СМЕТА № </v>
      </c>
      <c r="C17" s="16"/>
      <c r="D17" s="16"/>
      <c r="E17" s="16"/>
      <c r="F17" s="16"/>
      <c r="G17" s="16"/>
      <c r="H17" s="16"/>
      <c r="I17" s="16"/>
      <c r="J17" s="16"/>
      <c r="K17" s="16"/>
      <c r="L17" s="20"/>
      <c r="AD17" s="21" t="str">
        <f>CONCATENATE("ЛОКАЛЬНАЯ СМЕТА № ",IF(Source!F12&lt;&gt;"Новый объект",Source!F12,""))</f>
        <v>ЛОКАЛЬНАЯ СМЕТА № </v>
      </c>
    </row>
    <row r="18" spans="1:12" ht="15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0"/>
    </row>
    <row r="19" spans="1:12" ht="18" hidden="1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0"/>
    </row>
    <row r="20" spans="1:12" ht="14.25" hidden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30" ht="18">
      <c r="A21" s="11"/>
      <c r="B21" s="73" t="s">
        <v>761</v>
      </c>
      <c r="C21" s="73"/>
      <c r="D21" s="73"/>
      <c r="E21" s="73"/>
      <c r="F21" s="73"/>
      <c r="G21" s="73"/>
      <c r="H21" s="73"/>
      <c r="I21" s="73"/>
      <c r="J21" s="73"/>
      <c r="K21" s="73"/>
      <c r="L21" s="23"/>
      <c r="AD21" s="35" t="str">
        <f>IF(Source!G12&lt;&gt;"Новый объект",Source!G12,"")</f>
        <v>ДМШ № 2-ремонт  помещений-2020г (УСН)</v>
      </c>
    </row>
    <row r="22" spans="1:30" ht="18">
      <c r="A22" s="71"/>
      <c r="B22" s="74" t="s">
        <v>760</v>
      </c>
      <c r="C22" s="74"/>
      <c r="D22" s="74"/>
      <c r="E22" s="74"/>
      <c r="F22" s="74"/>
      <c r="G22" s="74"/>
      <c r="H22" s="74"/>
      <c r="I22" s="74"/>
      <c r="J22" s="74"/>
      <c r="K22" s="74"/>
      <c r="L22" s="72"/>
      <c r="AD22" s="70"/>
    </row>
    <row r="23" spans="1:12" ht="14.25">
      <c r="A23" s="11"/>
      <c r="B23" s="24" t="s">
        <v>717</v>
      </c>
      <c r="C23" s="24"/>
      <c r="D23" s="24"/>
      <c r="E23" s="24"/>
      <c r="F23" s="24"/>
      <c r="G23" s="24"/>
      <c r="H23" s="24"/>
      <c r="I23" s="24"/>
      <c r="J23" s="24"/>
      <c r="K23" s="24"/>
      <c r="L23" s="14"/>
    </row>
    <row r="24" spans="1:12" ht="14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31" ht="14.25">
      <c r="A25" s="19" t="str">
        <f>CONCATENATE("Основание: ",Source!J12)</f>
        <v>Основание: 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AE25" s="36" t="str">
        <f>CONCATENATE("Основание: ",Source!J12)</f>
        <v>Основание: </v>
      </c>
    </row>
    <row r="26" spans="1:12" ht="14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4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4.25">
      <c r="A28" s="11"/>
      <c r="B28" s="11"/>
      <c r="C28" s="11"/>
      <c r="D28" s="11"/>
      <c r="E28" s="25"/>
      <c r="F28" s="25"/>
      <c r="G28" s="26" t="s">
        <v>718</v>
      </c>
      <c r="H28" s="26"/>
      <c r="I28" s="26" t="s">
        <v>719</v>
      </c>
      <c r="J28" s="26"/>
      <c r="K28" s="11"/>
      <c r="L28" s="11"/>
    </row>
    <row r="29" spans="1:12" ht="15">
      <c r="A29" s="11"/>
      <c r="B29" s="11"/>
      <c r="C29" s="27" t="s">
        <v>720</v>
      </c>
      <c r="D29" s="27"/>
      <c r="E29" s="27"/>
      <c r="F29" s="27"/>
      <c r="G29" s="28">
        <f>SUM(O1:O244)/1000</f>
        <v>57.989340000000006</v>
      </c>
      <c r="H29" s="28"/>
      <c r="I29" s="28">
        <f>(Source!F122/1000)</f>
        <v>199.98532999999998</v>
      </c>
      <c r="J29" s="28"/>
      <c r="K29" s="29" t="s">
        <v>721</v>
      </c>
      <c r="L29" s="29"/>
    </row>
    <row r="30" spans="1:12" ht="14.25">
      <c r="A30" s="11"/>
      <c r="B30" s="11"/>
      <c r="C30" s="30" t="s">
        <v>722</v>
      </c>
      <c r="D30" s="30"/>
      <c r="E30" s="30"/>
      <c r="F30" s="30"/>
      <c r="G30" s="28">
        <f>SUM(W1:W244)/1000</f>
        <v>57.94266000000001</v>
      </c>
      <c r="H30" s="28"/>
      <c r="I30" s="28">
        <f>(Source!F109)/1000</f>
        <v>178.67435</v>
      </c>
      <c r="J30" s="28"/>
      <c r="K30" s="29" t="s">
        <v>721</v>
      </c>
      <c r="L30" s="29"/>
    </row>
    <row r="31" spans="1:12" ht="14.25">
      <c r="A31" s="11"/>
      <c r="B31" s="11"/>
      <c r="C31" s="30" t="s">
        <v>723</v>
      </c>
      <c r="D31" s="30"/>
      <c r="E31" s="30"/>
      <c r="F31" s="30"/>
      <c r="G31" s="28">
        <f>SUM(X1:X244)/1000</f>
        <v>0.046680000000000006</v>
      </c>
      <c r="H31" s="28"/>
      <c r="I31" s="28">
        <f>(Source!F110)/1000</f>
        <v>1.08774</v>
      </c>
      <c r="J31" s="28"/>
      <c r="K31" s="29" t="s">
        <v>721</v>
      </c>
      <c r="L31" s="29"/>
    </row>
    <row r="32" spans="1:12" ht="14.25">
      <c r="A32" s="11"/>
      <c r="B32" s="11"/>
      <c r="C32" s="30" t="s">
        <v>724</v>
      </c>
      <c r="D32" s="30"/>
      <c r="E32" s="30"/>
      <c r="F32" s="30"/>
      <c r="G32" s="28">
        <f>SUM(Y1:Y244)/1000</f>
        <v>0</v>
      </c>
      <c r="H32" s="28"/>
      <c r="I32" s="28">
        <f>(Source!F103)/1000</f>
        <v>0</v>
      </c>
      <c r="J32" s="28"/>
      <c r="K32" s="29" t="s">
        <v>721</v>
      </c>
      <c r="L32" s="29"/>
    </row>
    <row r="33" spans="1:12" ht="14.25">
      <c r="A33" s="11"/>
      <c r="B33" s="11"/>
      <c r="C33" s="30" t="s">
        <v>725</v>
      </c>
      <c r="D33" s="30"/>
      <c r="E33" s="30"/>
      <c r="F33" s="30"/>
      <c r="G33" s="28">
        <f>SUM(Z1:Z244)/1000</f>
        <v>0</v>
      </c>
      <c r="H33" s="28"/>
      <c r="I33" s="28">
        <f>(Source!F111)/1000</f>
        <v>0</v>
      </c>
      <c r="J33" s="28"/>
      <c r="K33" s="29" t="s">
        <v>721</v>
      </c>
      <c r="L33" s="29"/>
    </row>
    <row r="34" spans="1:12" ht="15">
      <c r="A34" s="11"/>
      <c r="B34" s="11"/>
      <c r="C34" s="27" t="s">
        <v>726</v>
      </c>
      <c r="D34" s="27"/>
      <c r="E34" s="27"/>
      <c r="F34" s="27"/>
      <c r="G34" s="28">
        <f>I34</f>
        <v>131.22256950000002</v>
      </c>
      <c r="H34" s="28"/>
      <c r="I34" s="28">
        <f>(Source!F113+Source!F114)</f>
        <v>131.22256950000002</v>
      </c>
      <c r="J34" s="28"/>
      <c r="K34" s="29" t="s">
        <v>727</v>
      </c>
      <c r="L34" s="29"/>
    </row>
    <row r="35" spans="1:12" ht="15">
      <c r="A35" s="11"/>
      <c r="B35" s="11"/>
      <c r="C35" s="27" t="s">
        <v>728</v>
      </c>
      <c r="D35" s="27"/>
      <c r="E35" s="27"/>
      <c r="F35" s="27"/>
      <c r="G35" s="28">
        <f>SUM(R1:R244)/1000</f>
        <v>1.2155</v>
      </c>
      <c r="H35" s="28"/>
      <c r="I35" s="28">
        <f>(Source!F108+Source!F107)/1000</f>
        <v>38.53096</v>
      </c>
      <c r="J35" s="28"/>
      <c r="K35" s="29" t="s">
        <v>721</v>
      </c>
      <c r="L35" s="29"/>
    </row>
    <row r="36" spans="1:12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4.25">
      <c r="A37" s="31" t="s">
        <v>741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57">
      <c r="A38" s="32" t="s">
        <v>729</v>
      </c>
      <c r="B38" s="32" t="s">
        <v>730</v>
      </c>
      <c r="C38" s="32" t="s">
        <v>731</v>
      </c>
      <c r="D38" s="32" t="s">
        <v>732</v>
      </c>
      <c r="E38" s="32" t="s">
        <v>733</v>
      </c>
      <c r="F38" s="32" t="s">
        <v>734</v>
      </c>
      <c r="G38" s="32" t="s">
        <v>735</v>
      </c>
      <c r="H38" s="32" t="s">
        <v>736</v>
      </c>
      <c r="I38" s="32" t="s">
        <v>737</v>
      </c>
      <c r="J38" s="32" t="s">
        <v>738</v>
      </c>
      <c r="K38" s="32" t="s">
        <v>739</v>
      </c>
      <c r="L38" s="32" t="s">
        <v>740</v>
      </c>
    </row>
    <row r="39" spans="1:12" ht="14.25">
      <c r="A39" s="33">
        <v>1</v>
      </c>
      <c r="B39" s="33">
        <v>2</v>
      </c>
      <c r="C39" s="33">
        <v>3</v>
      </c>
      <c r="D39" s="33">
        <v>4</v>
      </c>
      <c r="E39" s="33">
        <v>5</v>
      </c>
      <c r="F39" s="33">
        <v>6</v>
      </c>
      <c r="G39" s="33">
        <v>7</v>
      </c>
      <c r="H39" s="33">
        <v>8</v>
      </c>
      <c r="I39" s="33">
        <v>9</v>
      </c>
      <c r="J39" s="33">
        <v>10</v>
      </c>
      <c r="K39" s="33">
        <v>11</v>
      </c>
      <c r="L39" s="34">
        <v>12</v>
      </c>
    </row>
    <row r="41" spans="1:22" ht="42.75">
      <c r="A41" s="37" t="str">
        <f>Source!E24</f>
        <v>1</v>
      </c>
      <c r="B41" s="38" t="str">
        <f>Source!F24</f>
        <v>10-05-012-1</v>
      </c>
      <c r="C41" s="38" t="str">
        <f>Source!G24</f>
        <v>Облицовка стен глухих (без проемов) по металлическому одинарному каркасу гипсокартонными листами</v>
      </c>
      <c r="D41" s="39" t="str">
        <f>Source!H24</f>
        <v>100 м2</v>
      </c>
      <c r="E41" s="10">
        <f>Source!I24</f>
        <v>0.12</v>
      </c>
      <c r="F41" s="41">
        <f>IF(Source!AK24&lt;&gt;0,Source!AK24,Source!AL24+Source!AM24+Source!AO24)</f>
        <v>2684.21</v>
      </c>
      <c r="G41" s="40"/>
      <c r="H41" s="42"/>
      <c r="I41" s="40" t="str">
        <f>Source!BO24</f>
        <v>10-05-012-1</v>
      </c>
      <c r="J41" s="40"/>
      <c r="K41" s="42"/>
      <c r="L41" s="43"/>
      <c r="S41">
        <f>ROUND((Source!FX24/100)*((ROUND(Source!AF24*Source!I24,2)+ROUND(Source!AE24*Source!I24,2))),2)</f>
        <v>74.48</v>
      </c>
      <c r="T41">
        <f>Source!X24</f>
        <v>2350.34</v>
      </c>
      <c r="U41">
        <f>ROUND((Source!FY24/100)*((ROUND(Source!AF24*Source!I24,2)+ROUND(Source!AE24*Source!I24,2))),2)</f>
        <v>48.29</v>
      </c>
      <c r="V41">
        <f>Source!Y24</f>
        <v>1524.55</v>
      </c>
    </row>
    <row r="42" ht="12.75">
      <c r="C42" s="44" t="str">
        <f>"Объем: "&amp;Source!I24&amp;"=12/"&amp;"100"</f>
        <v>Объем: 0,12=12/100</v>
      </c>
    </row>
    <row r="43" spans="1:18" ht="14.25">
      <c r="A43" s="37"/>
      <c r="B43" s="38"/>
      <c r="C43" s="38" t="s">
        <v>742</v>
      </c>
      <c r="D43" s="39"/>
      <c r="E43" s="10"/>
      <c r="F43" s="41">
        <f>Source!AO24</f>
        <v>724.51</v>
      </c>
      <c r="G43" s="40" t="str">
        <f>Source!DG24</f>
        <v>)*1,15</v>
      </c>
      <c r="H43" s="42">
        <f>ROUND(Source!AF24*Source!I24,2)</f>
        <v>99.98</v>
      </c>
      <c r="I43" s="40"/>
      <c r="J43" s="40">
        <f>IF(Source!BA24&lt;&gt;0,Source!BA24,1)</f>
        <v>31.7</v>
      </c>
      <c r="K43" s="42">
        <f>Source!S24</f>
        <v>3169.44</v>
      </c>
      <c r="L43" s="43"/>
      <c r="R43">
        <f>H43</f>
        <v>99.98</v>
      </c>
    </row>
    <row r="44" spans="1:12" ht="14.25">
      <c r="A44" s="37"/>
      <c r="B44" s="38"/>
      <c r="C44" s="38" t="s">
        <v>234</v>
      </c>
      <c r="D44" s="39"/>
      <c r="E44" s="10"/>
      <c r="F44" s="41">
        <f>Source!AM24</f>
        <v>12.37</v>
      </c>
      <c r="G44" s="40" t="str">
        <f>Source!DE24</f>
        <v>)*1,25</v>
      </c>
      <c r="H44" s="42">
        <f>ROUND(Source!AD24*Source!I24,2)</f>
        <v>1.86</v>
      </c>
      <c r="I44" s="40"/>
      <c r="J44" s="40">
        <f>IF(Source!BB24&lt;&gt;0,Source!BB24,1)</f>
        <v>14.07</v>
      </c>
      <c r="K44" s="42">
        <f>Source!Q24</f>
        <v>26.11</v>
      </c>
      <c r="L44" s="43"/>
    </row>
    <row r="45" spans="1:18" ht="14.25">
      <c r="A45" s="37"/>
      <c r="B45" s="38"/>
      <c r="C45" s="38" t="s">
        <v>743</v>
      </c>
      <c r="D45" s="39"/>
      <c r="E45" s="10"/>
      <c r="F45" s="41">
        <f>Source!AN24</f>
        <v>1.41</v>
      </c>
      <c r="G45" s="40" t="str">
        <f>Source!DF24</f>
        <v>)*1,25</v>
      </c>
      <c r="H45" s="45">
        <f>ROUND(Source!AE24*Source!I24,2)</f>
        <v>0.21</v>
      </c>
      <c r="I45" s="40"/>
      <c r="J45" s="40">
        <f>IF(Source!BS24&lt;&gt;0,Source!BS24,1)</f>
        <v>31.7</v>
      </c>
      <c r="K45" s="45">
        <f>Source!R24</f>
        <v>6.7</v>
      </c>
      <c r="L45" s="43"/>
      <c r="R45">
        <f>H45</f>
        <v>0.21</v>
      </c>
    </row>
    <row r="46" spans="1:12" ht="14.25">
      <c r="A46" s="37"/>
      <c r="B46" s="38"/>
      <c r="C46" s="38" t="s">
        <v>744</v>
      </c>
      <c r="D46" s="39"/>
      <c r="E46" s="10"/>
      <c r="F46" s="41">
        <f>Source!AL24</f>
        <v>1947.33</v>
      </c>
      <c r="G46" s="40">
        <f>Source!DD24</f>
      </c>
      <c r="H46" s="42">
        <f>ROUND(Source!AC24*Source!I24,2)</f>
        <v>233.68</v>
      </c>
      <c r="I46" s="40"/>
      <c r="J46" s="40">
        <f>IF(Source!BC24&lt;&gt;0,Source!BC24,1)</f>
        <v>7.38</v>
      </c>
      <c r="K46" s="42">
        <f>Source!P24</f>
        <v>1724.56</v>
      </c>
      <c r="L46" s="43"/>
    </row>
    <row r="47" spans="1:12" ht="14.25">
      <c r="A47" s="37"/>
      <c r="B47" s="38"/>
      <c r="C47" s="38" t="s">
        <v>745</v>
      </c>
      <c r="D47" s="39" t="s">
        <v>746</v>
      </c>
      <c r="E47" s="10">
        <f>Source!BZ24</f>
        <v>118</v>
      </c>
      <c r="F47" s="46" t="str">
        <f>CONCATENATE(" )",Source!DL24,Source!FT24,"=",Source!FX24)</f>
        <v> )*0,9*0,7=74,34</v>
      </c>
      <c r="G47" s="19"/>
      <c r="H47" s="42">
        <f>SUM(S41:S50)</f>
        <v>74.48</v>
      </c>
      <c r="I47" s="47"/>
      <c r="J47" s="36">
        <f>Source!AT24</f>
        <v>74</v>
      </c>
      <c r="K47" s="42">
        <f>SUM(T41:T50)</f>
        <v>2350.34</v>
      </c>
      <c r="L47" s="43"/>
    </row>
    <row r="48" spans="1:12" ht="14.25">
      <c r="A48" s="37"/>
      <c r="B48" s="38"/>
      <c r="C48" s="38" t="s">
        <v>747</v>
      </c>
      <c r="D48" s="39" t="s">
        <v>746</v>
      </c>
      <c r="E48" s="10">
        <f>Source!CA24</f>
        <v>63</v>
      </c>
      <c r="F48" s="46" t="str">
        <f>CONCATENATE(" )",Source!DM24,Source!FU24,"=",Source!FY24)</f>
        <v> )*0,85*0,9=48,195</v>
      </c>
      <c r="G48" s="19"/>
      <c r="H48" s="42">
        <f>SUM(U41:U50)</f>
        <v>48.29</v>
      </c>
      <c r="I48" s="47"/>
      <c r="J48" s="36">
        <f>Source!AU24</f>
        <v>48</v>
      </c>
      <c r="K48" s="42">
        <f>SUM(V41:V50)</f>
        <v>1524.55</v>
      </c>
      <c r="L48" s="43"/>
    </row>
    <row r="49" spans="1:12" ht="14.25">
      <c r="A49" s="37"/>
      <c r="B49" s="38"/>
      <c r="C49" s="38" t="s">
        <v>748</v>
      </c>
      <c r="D49" s="39" t="s">
        <v>749</v>
      </c>
      <c r="E49" s="10">
        <f>Source!AQ24</f>
        <v>80.77</v>
      </c>
      <c r="F49" s="41"/>
      <c r="G49" s="40" t="str">
        <f>Source!DI24</f>
        <v>)*1,15</v>
      </c>
      <c r="H49" s="42"/>
      <c r="I49" s="40"/>
      <c r="J49" s="40"/>
      <c r="K49" s="42"/>
      <c r="L49" s="48">
        <f>Source!U24</f>
        <v>11.146259999999998</v>
      </c>
    </row>
    <row r="50" spans="1:26" ht="14.25">
      <c r="A50" s="53" t="str">
        <f>Source!E25</f>
        <v>1,1</v>
      </c>
      <c r="B50" s="54" t="str">
        <f>Source!F25</f>
        <v>101-2510</v>
      </c>
      <c r="C50" s="54" t="str">
        <f>Source!G25</f>
        <v>Листы гипсокартонные ГКЛ 14 мм</v>
      </c>
      <c r="D50" s="55" t="str">
        <f>Source!H25</f>
        <v>м2</v>
      </c>
      <c r="E50" s="56">
        <f>Source!I25</f>
        <v>12.6</v>
      </c>
      <c r="F50" s="57">
        <f>Source!AK25</f>
        <v>15.38</v>
      </c>
      <c r="G50" s="58" t="s">
        <v>6</v>
      </c>
      <c r="H50" s="59">
        <f>ROUND(Source!AC25*Source!I25,2)+ROUND(Source!AD25*Source!I25,2)+ROUND(Source!AF25*Source!I25,2)</f>
        <v>193.79</v>
      </c>
      <c r="I50" s="60"/>
      <c r="J50" s="60">
        <f>IF(Source!BC25&lt;&gt;0,Source!BC25,1)</f>
        <v>5.38</v>
      </c>
      <c r="K50" s="59">
        <f>Source!O25</f>
        <v>1042.58</v>
      </c>
      <c r="L50" s="61"/>
      <c r="S50">
        <f>ROUND((Source!FX25/100)*((ROUND(Source!AF25*Source!I25,2)+ROUND(Source!AE25*Source!I25,2))),2)</f>
        <v>0</v>
      </c>
      <c r="T50">
        <f>Source!X25</f>
        <v>0</v>
      </c>
      <c r="U50">
        <f>ROUND((Source!FY25/100)*((ROUND(Source!AF25*Source!I25,2)+ROUND(Source!AE25*Source!I25,2))),2)</f>
        <v>0</v>
      </c>
      <c r="V50">
        <f>Source!Y25</f>
        <v>0</v>
      </c>
      <c r="W50">
        <f>IF(Source!BI25&lt;=1,H50,0)</f>
        <v>193.79</v>
      </c>
      <c r="X50">
        <f>IF(Source!BI25=2,H50,0)</f>
        <v>0</v>
      </c>
      <c r="Y50">
        <f>IF(Source!BI25=3,H50,0)</f>
        <v>0</v>
      </c>
      <c r="Z50">
        <f>IF(Source!BI25=4,H50,0)</f>
        <v>0</v>
      </c>
    </row>
    <row r="51" spans="7:26" ht="15">
      <c r="G51" s="51">
        <f>H43+H44+H46+H47+H48+SUM(H50:H50)</f>
        <v>652.08</v>
      </c>
      <c r="H51" s="51"/>
      <c r="J51" s="51">
        <f>K43+K44+K46+K47+K48+SUM(K50:K50)</f>
        <v>9837.58</v>
      </c>
      <c r="K51" s="51"/>
      <c r="L51" s="52">
        <f>Source!U24</f>
        <v>11.146259999999998</v>
      </c>
      <c r="O51" s="50">
        <f>G51</f>
        <v>652.08</v>
      </c>
      <c r="P51" s="50">
        <f>J51</f>
        <v>9837.58</v>
      </c>
      <c r="Q51" s="50">
        <f>L51</f>
        <v>11.146259999999998</v>
      </c>
      <c r="W51">
        <f>IF(Source!BI24&lt;=1,H43+H44+H46+H47+H48,0)</f>
        <v>458.29</v>
      </c>
      <c r="X51">
        <f>IF(Source!BI24=2,H43+H44+H46+H47+H48,0)</f>
        <v>0</v>
      </c>
      <c r="Y51">
        <f>IF(Source!BI24=3,H43+H44+H46+H47+H48,0)</f>
        <v>0</v>
      </c>
      <c r="Z51">
        <f>IF(Source!BI24=4,H43+H44+H46+H47+H48,0)</f>
        <v>0</v>
      </c>
    </row>
    <row r="52" spans="1:22" ht="57">
      <c r="A52" s="37" t="str">
        <f>Source!E26</f>
        <v>2</v>
      </c>
      <c r="B52" s="38" t="str">
        <f>Source!F26</f>
        <v>10-01-039-1</v>
      </c>
      <c r="C52" s="38" t="str">
        <f>Source!G26</f>
        <v>Установка блоков в наружных и внутренних дверных проемах в каменных стенах, площадь проема до 3 м2</v>
      </c>
      <c r="D52" s="39" t="str">
        <f>Source!H26</f>
        <v>100 м2 проемов</v>
      </c>
      <c r="E52" s="10">
        <f>Source!I26</f>
        <v>0.024</v>
      </c>
      <c r="F52" s="41">
        <f>IF(Source!AK26&lt;&gt;0,Source!AK26,Source!AL26+Source!AM26+Source!AO26)</f>
        <v>24625.68</v>
      </c>
      <c r="G52" s="40"/>
      <c r="H52" s="42"/>
      <c r="I52" s="40" t="str">
        <f>Source!BO26</f>
        <v>10-01-039-1</v>
      </c>
      <c r="J52" s="40"/>
      <c r="K52" s="42"/>
      <c r="L52" s="43"/>
      <c r="S52">
        <f>ROUND((Source!FX26/100)*((ROUND(Source!AF26*Source!I26,2)+ROUND(Source!AE26*Source!I26,2))),2)</f>
        <v>19.77</v>
      </c>
      <c r="T52">
        <f>Source!X26</f>
        <v>624.19</v>
      </c>
      <c r="U52">
        <f>ROUND((Source!FY26/100)*((ROUND(Source!AF26*Source!I26,2)+ROUND(Source!AE26*Source!I26,2))),2)</f>
        <v>12.82</v>
      </c>
      <c r="V52">
        <f>Source!Y26</f>
        <v>404.88</v>
      </c>
    </row>
    <row r="53" ht="12.75">
      <c r="C53" s="44" t="str">
        <f>"Объем: "&amp;Source!I26&amp;"=2,4/"&amp;"100"</f>
        <v>Объем: 0,024=2,4/100</v>
      </c>
    </row>
    <row r="54" spans="1:18" ht="14.25">
      <c r="A54" s="37"/>
      <c r="B54" s="38"/>
      <c r="C54" s="38" t="s">
        <v>742</v>
      </c>
      <c r="D54" s="39"/>
      <c r="E54" s="10"/>
      <c r="F54" s="41">
        <f>Source!AO26</f>
        <v>821.89</v>
      </c>
      <c r="G54" s="40" t="str">
        <f>Source!DG26</f>
        <v>)*1,15</v>
      </c>
      <c r="H54" s="42">
        <f>ROUND(Source!AF26*Source!I26,2)</f>
        <v>22.68</v>
      </c>
      <c r="I54" s="40"/>
      <c r="J54" s="40">
        <f>IF(Source!BA26&lt;&gt;0,Source!BA26,1)</f>
        <v>31.7</v>
      </c>
      <c r="K54" s="42">
        <f>Source!S26</f>
        <v>719.09</v>
      </c>
      <c r="L54" s="43"/>
      <c r="R54">
        <f>H54</f>
        <v>22.68</v>
      </c>
    </row>
    <row r="55" spans="1:12" ht="14.25">
      <c r="A55" s="37"/>
      <c r="B55" s="38"/>
      <c r="C55" s="38" t="s">
        <v>234</v>
      </c>
      <c r="D55" s="39"/>
      <c r="E55" s="10"/>
      <c r="F55" s="41">
        <f>Source!AM26</f>
        <v>1010.68</v>
      </c>
      <c r="G55" s="40" t="str">
        <f>Source!DE26</f>
        <v>)*1,25</v>
      </c>
      <c r="H55" s="42">
        <f>ROUND(Source!AD26*Source!I26,2)</f>
        <v>30.32</v>
      </c>
      <c r="I55" s="40"/>
      <c r="J55" s="40">
        <f>IF(Source!BB26&lt;&gt;0,Source!BB26,1)</f>
        <v>10.11</v>
      </c>
      <c r="K55" s="42">
        <f>Source!Q26</f>
        <v>306.54</v>
      </c>
      <c r="L55" s="43"/>
    </row>
    <row r="56" spans="1:18" ht="14.25">
      <c r="A56" s="37"/>
      <c r="B56" s="38"/>
      <c r="C56" s="38" t="s">
        <v>743</v>
      </c>
      <c r="D56" s="39"/>
      <c r="E56" s="10"/>
      <c r="F56" s="41">
        <f>Source!AN26</f>
        <v>130.82</v>
      </c>
      <c r="G56" s="40" t="str">
        <f>Source!DF26</f>
        <v>)*1,25</v>
      </c>
      <c r="H56" s="45">
        <f>ROUND(Source!AE26*Source!I26,2)</f>
        <v>3.92</v>
      </c>
      <c r="I56" s="40"/>
      <c r="J56" s="40">
        <f>IF(Source!BS26&lt;&gt;0,Source!BS26,1)</f>
        <v>31.7</v>
      </c>
      <c r="K56" s="45">
        <f>Source!R26</f>
        <v>124.41</v>
      </c>
      <c r="L56" s="43"/>
      <c r="R56">
        <f>H56</f>
        <v>3.92</v>
      </c>
    </row>
    <row r="57" spans="1:12" ht="14.25">
      <c r="A57" s="37"/>
      <c r="B57" s="38"/>
      <c r="C57" s="38" t="s">
        <v>744</v>
      </c>
      <c r="D57" s="39"/>
      <c r="E57" s="10"/>
      <c r="F57" s="41">
        <f>Source!AL26</f>
        <v>22793.11</v>
      </c>
      <c r="G57" s="40">
        <f>Source!DD26</f>
      </c>
      <c r="H57" s="42">
        <f>ROUND(Source!AC26*Source!I26,2)</f>
        <v>547.03</v>
      </c>
      <c r="I57" s="40"/>
      <c r="J57" s="40">
        <f>IF(Source!BC26&lt;&gt;0,Source!BC26,1)</f>
        <v>4.95</v>
      </c>
      <c r="K57" s="42">
        <f>Source!P26</f>
        <v>2707.82</v>
      </c>
      <c r="L57" s="43"/>
    </row>
    <row r="58" spans="1:12" ht="14.25">
      <c r="A58" s="37"/>
      <c r="B58" s="38"/>
      <c r="C58" s="38" t="s">
        <v>745</v>
      </c>
      <c r="D58" s="39" t="s">
        <v>746</v>
      </c>
      <c r="E58" s="10">
        <f>Source!BZ26</f>
        <v>118</v>
      </c>
      <c r="F58" s="46" t="str">
        <f>CONCATENATE(" )",Source!DL26,Source!FT26,"=",Source!FX26)</f>
        <v> )*0,9*0,7=74,34</v>
      </c>
      <c r="G58" s="19"/>
      <c r="H58" s="42">
        <f>SUM(S52:S62)</f>
        <v>19.77</v>
      </c>
      <c r="I58" s="47"/>
      <c r="J58" s="36">
        <f>Source!AT26</f>
        <v>74</v>
      </c>
      <c r="K58" s="42">
        <f>SUM(T52:T62)</f>
        <v>624.19</v>
      </c>
      <c r="L58" s="43"/>
    </row>
    <row r="59" spans="1:12" ht="14.25">
      <c r="A59" s="37"/>
      <c r="B59" s="38"/>
      <c r="C59" s="38" t="s">
        <v>747</v>
      </c>
      <c r="D59" s="39" t="s">
        <v>746</v>
      </c>
      <c r="E59" s="10">
        <f>Source!CA26</f>
        <v>63</v>
      </c>
      <c r="F59" s="46" t="str">
        <f>CONCATENATE(" )",Source!DM26,Source!FU26,"=",Source!FY26)</f>
        <v> )*0,85*0,9=48,195</v>
      </c>
      <c r="G59" s="19"/>
      <c r="H59" s="42">
        <f>SUM(U52:U62)</f>
        <v>12.82</v>
      </c>
      <c r="I59" s="47"/>
      <c r="J59" s="36">
        <f>Source!AU26</f>
        <v>48</v>
      </c>
      <c r="K59" s="42">
        <f>SUM(V52:V62)</f>
        <v>404.88</v>
      </c>
      <c r="L59" s="43"/>
    </row>
    <row r="60" spans="1:12" ht="14.25">
      <c r="A60" s="37"/>
      <c r="B60" s="38"/>
      <c r="C60" s="38" t="s">
        <v>748</v>
      </c>
      <c r="D60" s="39" t="s">
        <v>749</v>
      </c>
      <c r="E60" s="10">
        <f>Source!AQ26</f>
        <v>89.53</v>
      </c>
      <c r="F60" s="41"/>
      <c r="G60" s="40" t="str">
        <f>Source!DI26</f>
        <v>)*1,15</v>
      </c>
      <c r="H60" s="42"/>
      <c r="I60" s="40"/>
      <c r="J60" s="40"/>
      <c r="K60" s="42"/>
      <c r="L60" s="48">
        <f>Source!U26</f>
        <v>2.471028</v>
      </c>
    </row>
    <row r="61" spans="1:26" ht="57">
      <c r="A61" s="37" t="str">
        <f>Source!E27</f>
        <v>2,1</v>
      </c>
      <c r="B61" s="38" t="str">
        <f>Source!F27</f>
        <v>203-0223</v>
      </c>
      <c r="C61" s="38" t="str">
        <f>Source!G27</f>
        <v>Блоки дверные с рамочными полотнами однопольные ДН 21-10, площадь 2,05 м2; ДН 24-10, площадь 2,35 м2</v>
      </c>
      <c r="D61" s="39" t="str">
        <f>Source!H27</f>
        <v>м2</v>
      </c>
      <c r="E61" s="10">
        <f>Source!I27</f>
        <v>-2.4</v>
      </c>
      <c r="F61" s="41">
        <f>Source!AK27</f>
        <v>207</v>
      </c>
      <c r="G61" s="49" t="s">
        <v>6</v>
      </c>
      <c r="H61" s="42">
        <f>ROUND(Source!AC27*Source!I27,2)+ROUND(Source!AD27*Source!I27,2)+ROUND(Source!AF27*Source!I27,2)</f>
        <v>-496.8</v>
      </c>
      <c r="I61" s="40"/>
      <c r="J61" s="40">
        <f>IF(Source!BC27&lt;&gt;0,Source!BC27,1)</f>
        <v>5.02</v>
      </c>
      <c r="K61" s="42">
        <f>Source!O27</f>
        <v>-2493.94</v>
      </c>
      <c r="L61" s="43"/>
      <c r="S61">
        <f>ROUND((Source!FX27/100)*((ROUND(Source!AF27*Source!I27,2)+ROUND(Source!AE27*Source!I27,2))),2)</f>
        <v>0</v>
      </c>
      <c r="T61">
        <f>Source!X27</f>
        <v>0</v>
      </c>
      <c r="U61">
        <f>ROUND((Source!FY27/100)*((ROUND(Source!AF27*Source!I27,2)+ROUND(Source!AE27*Source!I27,2))),2)</f>
        <v>0</v>
      </c>
      <c r="V61">
        <f>Source!Y27</f>
        <v>0</v>
      </c>
      <c r="W61">
        <f>IF(Source!BI27&lt;=1,H61,0)</f>
        <v>-496.8</v>
      </c>
      <c r="X61">
        <f>IF(Source!BI27=2,H61,0)</f>
        <v>0</v>
      </c>
      <c r="Y61">
        <f>IF(Source!BI27=3,H61,0)</f>
        <v>0</v>
      </c>
      <c r="Z61">
        <f>IF(Source!BI27=4,H61,0)</f>
        <v>0</v>
      </c>
    </row>
    <row r="62" spans="1:26" ht="71.25">
      <c r="A62" s="53" t="str">
        <f>Source!E28</f>
        <v>2,2</v>
      </c>
      <c r="B62" s="54" t="str">
        <f>Source!F28</f>
        <v>203-0601</v>
      </c>
      <c r="C62" s="54" t="str">
        <f>Source!G28</f>
        <v>Блок дверной, одностворчатый, 3-х филёнчатый, глухой сосновый,массивный, без лака, модель FF PUUVALMIS 3P, размер дверного полотна 600x2000 мм</v>
      </c>
      <c r="D62" s="55" t="str">
        <f>Source!H28</f>
        <v>компл.</v>
      </c>
      <c r="E62" s="56">
        <f>Source!I28</f>
        <v>2</v>
      </c>
      <c r="F62" s="57">
        <f>Source!AK28</f>
        <v>1095.34</v>
      </c>
      <c r="G62" s="58" t="s">
        <v>6</v>
      </c>
      <c r="H62" s="59">
        <f>ROUND(Source!AC28*Source!I28,2)+ROUND(Source!AD28*Source!I28,2)+ROUND(Source!AF28*Source!I28,2)</f>
        <v>2190.68</v>
      </c>
      <c r="I62" s="60"/>
      <c r="J62" s="60">
        <f>IF(Source!BC28&lt;&gt;0,Source!BC28,1)</f>
        <v>5.56</v>
      </c>
      <c r="K62" s="59">
        <f>Source!O28</f>
        <v>12180.18</v>
      </c>
      <c r="L62" s="61"/>
      <c r="S62">
        <f>ROUND((Source!FX28/100)*((ROUND(Source!AF28*Source!I28,2)+ROUND(Source!AE28*Source!I28,2))),2)</f>
        <v>0</v>
      </c>
      <c r="T62">
        <f>Source!X28</f>
        <v>0</v>
      </c>
      <c r="U62">
        <f>ROUND((Source!FY28/100)*((ROUND(Source!AF28*Source!I28,2)+ROUND(Source!AE28*Source!I28,2))),2)</f>
        <v>0</v>
      </c>
      <c r="V62">
        <f>Source!Y28</f>
        <v>0</v>
      </c>
      <c r="W62">
        <f>IF(Source!BI28&lt;=1,H62,0)</f>
        <v>2190.68</v>
      </c>
      <c r="X62">
        <f>IF(Source!BI28=2,H62,0)</f>
        <v>0</v>
      </c>
      <c r="Y62">
        <f>IF(Source!BI28=3,H62,0)</f>
        <v>0</v>
      </c>
      <c r="Z62">
        <f>IF(Source!BI28=4,H62,0)</f>
        <v>0</v>
      </c>
    </row>
    <row r="63" spans="7:26" ht="15">
      <c r="G63" s="51">
        <f>H54+H55+H57+H58+H59+SUM(H61:H62)</f>
        <v>2326.5</v>
      </c>
      <c r="H63" s="51"/>
      <c r="J63" s="51">
        <f>K54+K55+K57+K58+K59+SUM(K61:K62)</f>
        <v>14448.76</v>
      </c>
      <c r="K63" s="51"/>
      <c r="L63" s="52">
        <f>Source!U26</f>
        <v>2.471028</v>
      </c>
      <c r="O63" s="50">
        <f>G63</f>
        <v>2326.5</v>
      </c>
      <c r="P63" s="50">
        <f>J63</f>
        <v>14448.76</v>
      </c>
      <c r="Q63" s="50">
        <f>L63</f>
        <v>2.471028</v>
      </c>
      <c r="W63">
        <f>IF(Source!BI26&lt;=1,H54+H55+H57+H58+H59,0)</f>
        <v>632.62</v>
      </c>
      <c r="X63">
        <f>IF(Source!BI26=2,H54+H55+H57+H58+H59,0)</f>
        <v>0</v>
      </c>
      <c r="Y63">
        <f>IF(Source!BI26=3,H54+H55+H57+H58+H59,0)</f>
        <v>0</v>
      </c>
      <c r="Z63">
        <f>IF(Source!BI26=4,H54+H55+H57+H58+H59,0)</f>
        <v>0</v>
      </c>
    </row>
    <row r="64" spans="1:22" ht="42.75">
      <c r="A64" s="37" t="str">
        <f>Source!E29</f>
        <v>3</v>
      </c>
      <c r="B64" s="38" t="str">
        <f>Source!F29</f>
        <v>10-01-060-1</v>
      </c>
      <c r="C64" s="38" t="str">
        <f>Source!G29</f>
        <v>Установка и крепление наличников</v>
      </c>
      <c r="D64" s="39" t="str">
        <f>Source!H29</f>
        <v>100 м коробок блоков</v>
      </c>
      <c r="E64" s="10">
        <f>Source!I29</f>
        <v>0.2</v>
      </c>
      <c r="F64" s="41">
        <f>IF(Source!AK29&lt;&gt;0,Source!AK29,Source!AL29+Source!AM29+Source!AO29)</f>
        <v>516.04</v>
      </c>
      <c r="G64" s="40"/>
      <c r="H64" s="42"/>
      <c r="I64" s="40" t="str">
        <f>Source!BO29</f>
        <v>10-01-060-1</v>
      </c>
      <c r="J64" s="40"/>
      <c r="K64" s="42"/>
      <c r="L64" s="43"/>
      <c r="S64">
        <f>ROUND((Source!FX29/100)*((ROUND(Source!AF29*Source!I29,2)+ROUND(Source!AE29*Source!I29,2))),2)</f>
        <v>10.92</v>
      </c>
      <c r="T64">
        <f>Source!X29</f>
        <v>344.71</v>
      </c>
      <c r="U64">
        <f>ROUND((Source!FY29/100)*((ROUND(Source!AF29*Source!I29,2)+ROUND(Source!AE29*Source!I29,2))),2)</f>
        <v>7.08</v>
      </c>
      <c r="V64">
        <f>Source!Y29</f>
        <v>223.59</v>
      </c>
    </row>
    <row r="65" ht="12.75">
      <c r="C65" s="44" t="str">
        <f>"Объем: "&amp;Source!I29&amp;"=20/"&amp;"100"</f>
        <v>Объем: 0,2=20/100</v>
      </c>
    </row>
    <row r="66" spans="1:18" ht="14.25">
      <c r="A66" s="37"/>
      <c r="B66" s="38"/>
      <c r="C66" s="38" t="s">
        <v>742</v>
      </c>
      <c r="D66" s="39"/>
      <c r="E66" s="10"/>
      <c r="F66" s="41">
        <f>Source!AO29</f>
        <v>63.89</v>
      </c>
      <c r="G66" s="40" t="str">
        <f>Source!DG29</f>
        <v>)*1,15</v>
      </c>
      <c r="H66" s="42">
        <f>ROUND(Source!AF29*Source!I29,2)</f>
        <v>14.69</v>
      </c>
      <c r="I66" s="40"/>
      <c r="J66" s="40">
        <f>IF(Source!BA29&lt;&gt;0,Source!BA29,1)</f>
        <v>31.7</v>
      </c>
      <c r="K66" s="42">
        <f>Source!S29</f>
        <v>465.82</v>
      </c>
      <c r="L66" s="43"/>
      <c r="R66">
        <f>H66</f>
        <v>14.69</v>
      </c>
    </row>
    <row r="67" spans="1:12" ht="14.25">
      <c r="A67" s="37"/>
      <c r="B67" s="38"/>
      <c r="C67" s="38" t="s">
        <v>234</v>
      </c>
      <c r="D67" s="39"/>
      <c r="E67" s="10"/>
      <c r="F67" s="41">
        <f>Source!AM29</f>
        <v>3.49</v>
      </c>
      <c r="G67" s="40" t="str">
        <f>Source!DE29</f>
        <v>)*1,25</v>
      </c>
      <c r="H67" s="42">
        <f>ROUND(Source!AD29*Source!I29,2)</f>
        <v>0.87</v>
      </c>
      <c r="I67" s="40"/>
      <c r="J67" s="40">
        <f>IF(Source!BB29&lt;&gt;0,Source!BB29,1)</f>
        <v>10.41</v>
      </c>
      <c r="K67" s="42">
        <f>Source!Q29</f>
        <v>9.08</v>
      </c>
      <c r="L67" s="43"/>
    </row>
    <row r="68" spans="1:12" ht="14.25">
      <c r="A68" s="37"/>
      <c r="B68" s="38"/>
      <c r="C68" s="38" t="s">
        <v>744</v>
      </c>
      <c r="D68" s="39"/>
      <c r="E68" s="10"/>
      <c r="F68" s="41">
        <f>Source!AL29</f>
        <v>448.66</v>
      </c>
      <c r="G68" s="40">
        <f>Source!DD29</f>
      </c>
      <c r="H68" s="42">
        <f>ROUND(Source!AC29*Source!I29,2)</f>
        <v>89.73</v>
      </c>
      <c r="I68" s="40"/>
      <c r="J68" s="40">
        <f>IF(Source!BC29&lt;&gt;0,Source!BC29,1)</f>
        <v>8.08</v>
      </c>
      <c r="K68" s="42">
        <f>Source!P29</f>
        <v>725.03</v>
      </c>
      <c r="L68" s="43"/>
    </row>
    <row r="69" spans="1:12" ht="14.25">
      <c r="A69" s="37"/>
      <c r="B69" s="38"/>
      <c r="C69" s="38" t="s">
        <v>745</v>
      </c>
      <c r="D69" s="39" t="s">
        <v>746</v>
      </c>
      <c r="E69" s="10">
        <f>Source!BZ29</f>
        <v>118</v>
      </c>
      <c r="F69" s="46" t="str">
        <f>CONCATENATE(" )",Source!DL29,Source!FT29,"=",Source!FX29)</f>
        <v> )*0,9*0,7=74,34</v>
      </c>
      <c r="G69" s="19"/>
      <c r="H69" s="42">
        <f>SUM(S64:S71)</f>
        <v>10.92</v>
      </c>
      <c r="I69" s="47"/>
      <c r="J69" s="36">
        <f>Source!AT29</f>
        <v>74</v>
      </c>
      <c r="K69" s="42">
        <f>SUM(T64:T71)</f>
        <v>344.71</v>
      </c>
      <c r="L69" s="43"/>
    </row>
    <row r="70" spans="1:12" ht="14.25">
      <c r="A70" s="37"/>
      <c r="B70" s="38"/>
      <c r="C70" s="38" t="s">
        <v>747</v>
      </c>
      <c r="D70" s="39" t="s">
        <v>746</v>
      </c>
      <c r="E70" s="10">
        <f>Source!CA29</f>
        <v>63</v>
      </c>
      <c r="F70" s="46" t="str">
        <f>CONCATENATE(" )",Source!DM29,Source!FU29,"=",Source!FY29)</f>
        <v> )*0,85*0,9=48,195</v>
      </c>
      <c r="G70" s="19"/>
      <c r="H70" s="42">
        <f>SUM(U64:U71)</f>
        <v>7.08</v>
      </c>
      <c r="I70" s="47"/>
      <c r="J70" s="36">
        <f>Source!AU29</f>
        <v>48</v>
      </c>
      <c r="K70" s="42">
        <f>SUM(V64:V71)</f>
        <v>223.59</v>
      </c>
      <c r="L70" s="43"/>
    </row>
    <row r="71" spans="1:12" ht="14.25">
      <c r="A71" s="53"/>
      <c r="B71" s="54"/>
      <c r="C71" s="54" t="s">
        <v>748</v>
      </c>
      <c r="D71" s="55" t="s">
        <v>749</v>
      </c>
      <c r="E71" s="56">
        <f>Source!AQ29</f>
        <v>7.82</v>
      </c>
      <c r="F71" s="57"/>
      <c r="G71" s="60" t="str">
        <f>Source!DI29</f>
        <v>)*1,15</v>
      </c>
      <c r="H71" s="59"/>
      <c r="I71" s="60"/>
      <c r="J71" s="60"/>
      <c r="K71" s="59"/>
      <c r="L71" s="62">
        <f>Source!U29</f>
        <v>1.7986000000000002</v>
      </c>
    </row>
    <row r="72" spans="7:26" ht="15">
      <c r="G72" s="51">
        <f>H66+H67+H68+H69+H70</f>
        <v>123.29</v>
      </c>
      <c r="H72" s="51"/>
      <c r="J72" s="51">
        <f>K66+K67+K68+K69+K70</f>
        <v>1768.2299999999998</v>
      </c>
      <c r="K72" s="51"/>
      <c r="L72" s="52">
        <f>Source!U29</f>
        <v>1.7986000000000002</v>
      </c>
      <c r="O72" s="50">
        <f>G72</f>
        <v>123.29</v>
      </c>
      <c r="P72" s="50">
        <f>J72</f>
        <v>1768.2299999999998</v>
      </c>
      <c r="Q72" s="50">
        <f>L72</f>
        <v>1.7986000000000002</v>
      </c>
      <c r="W72">
        <f>IF(Source!BI29&lt;=1,H66+H67+H68+H69+H70,0)</f>
        <v>123.29</v>
      </c>
      <c r="X72">
        <f>IF(Source!BI29=2,H66+H67+H68+H69+H70,0)</f>
        <v>0</v>
      </c>
      <c r="Y72">
        <f>IF(Source!BI29=3,H66+H67+H68+H69+H70,0)</f>
        <v>0</v>
      </c>
      <c r="Z72">
        <f>IF(Source!BI29=4,H66+H67+H68+H69+H70,0)</f>
        <v>0</v>
      </c>
    </row>
    <row r="73" spans="1:22" ht="85.5">
      <c r="A73" s="37" t="str">
        <f>Source!E30</f>
        <v>4</v>
      </c>
      <c r="B73" s="38" t="str">
        <f>Source!F30</f>
        <v>15-01-019-7</v>
      </c>
      <c r="C73" s="38" t="str">
        <f>Source!G30</f>
        <v>Гладкая облицовка стен, столбов, пилястр и откосов (без карнизных, плинтусных и угловых плиток) с установкой плиток туалетного гарнитура на клее из сухих смесей по кирпичу и бетону</v>
      </c>
      <c r="D73" s="39" t="str">
        <f>Source!H30</f>
        <v>100 м2 поверхности облицовки</v>
      </c>
      <c r="E73" s="10">
        <f>Source!I30</f>
        <v>0.25</v>
      </c>
      <c r="F73" s="41">
        <f>IF(Source!AK30&lt;&gt;0,Source!AK30,Source!AL30+Source!AM30+Source!AO30)</f>
        <v>12904.95</v>
      </c>
      <c r="G73" s="40"/>
      <c r="H73" s="42"/>
      <c r="I73" s="40" t="str">
        <f>Source!BO30</f>
        <v>15-01-019-7</v>
      </c>
      <c r="J73" s="40"/>
      <c r="K73" s="42"/>
      <c r="L73" s="43"/>
      <c r="S73">
        <f>ROUND((Source!FX30/100)*((ROUND(Source!AF30*Source!I30,2)+ROUND(Source!AE30*Source!I30,2))),2)</f>
        <v>293.63</v>
      </c>
      <c r="T73">
        <f>Source!X30</f>
        <v>9286.88</v>
      </c>
      <c r="U73">
        <f>ROUND((Source!FY30/100)*((ROUND(Source!AF30*Source!I30,2)+ROUND(Source!AE30*Source!I30,2))),2)</f>
        <v>186.77</v>
      </c>
      <c r="V73">
        <f>Source!Y30</f>
        <v>5909.83</v>
      </c>
    </row>
    <row r="74" ht="12.75">
      <c r="C74" s="44" t="str">
        <f>"Объем: "&amp;Source!I30&amp;"=25/"&amp;"100"</f>
        <v>Объем: 0,25=25/100</v>
      </c>
    </row>
    <row r="75" spans="1:18" ht="14.25">
      <c r="A75" s="37"/>
      <c r="B75" s="38"/>
      <c r="C75" s="38" t="s">
        <v>742</v>
      </c>
      <c r="D75" s="39"/>
      <c r="E75" s="10"/>
      <c r="F75" s="41">
        <f>Source!AO30</f>
        <v>1524.89</v>
      </c>
      <c r="G75" s="40" t="str">
        <f>Source!DG30</f>
        <v>)*1,15</v>
      </c>
      <c r="H75" s="42">
        <f>ROUND(Source!AF30*Source!I30,2)</f>
        <v>438.41</v>
      </c>
      <c r="I75" s="40"/>
      <c r="J75" s="40">
        <f>IF(Source!BA30&lt;&gt;0,Source!BA30,1)</f>
        <v>31.7</v>
      </c>
      <c r="K75" s="42">
        <f>Source!S30</f>
        <v>13897.47</v>
      </c>
      <c r="L75" s="43"/>
      <c r="R75">
        <f>H75</f>
        <v>438.41</v>
      </c>
    </row>
    <row r="76" spans="1:12" ht="14.25">
      <c r="A76" s="37"/>
      <c r="B76" s="38"/>
      <c r="C76" s="38" t="s">
        <v>234</v>
      </c>
      <c r="D76" s="39"/>
      <c r="E76" s="10"/>
      <c r="F76" s="41">
        <f>Source!AM30</f>
        <v>32.55</v>
      </c>
      <c r="G76" s="40" t="str">
        <f>Source!DE30</f>
        <v>)*1,25</v>
      </c>
      <c r="H76" s="42">
        <f>ROUND(Source!AD30*Source!I30,2)</f>
        <v>10.17</v>
      </c>
      <c r="I76" s="40"/>
      <c r="J76" s="40">
        <f>IF(Source!BB30&lt;&gt;0,Source!BB30,1)</f>
        <v>19.72</v>
      </c>
      <c r="K76" s="42">
        <f>Source!Q30</f>
        <v>200.59</v>
      </c>
      <c r="L76" s="43"/>
    </row>
    <row r="77" spans="1:18" ht="14.25">
      <c r="A77" s="37"/>
      <c r="B77" s="38"/>
      <c r="C77" s="38" t="s">
        <v>743</v>
      </c>
      <c r="D77" s="39"/>
      <c r="E77" s="10"/>
      <c r="F77" s="41">
        <f>Source!AN30</f>
        <v>17.52</v>
      </c>
      <c r="G77" s="40" t="str">
        <f>Source!DF30</f>
        <v>)*1,25</v>
      </c>
      <c r="H77" s="45">
        <f>ROUND(Source!AE30*Source!I30,2)</f>
        <v>5.48</v>
      </c>
      <c r="I77" s="40"/>
      <c r="J77" s="40">
        <f>IF(Source!BS30&lt;&gt;0,Source!BS30,1)</f>
        <v>31.7</v>
      </c>
      <c r="K77" s="45">
        <f>Source!R30</f>
        <v>173.56</v>
      </c>
      <c r="L77" s="43"/>
      <c r="R77">
        <f>H77</f>
        <v>5.48</v>
      </c>
    </row>
    <row r="78" spans="1:12" ht="14.25">
      <c r="A78" s="37"/>
      <c r="B78" s="38"/>
      <c r="C78" s="38" t="s">
        <v>744</v>
      </c>
      <c r="D78" s="39"/>
      <c r="E78" s="10"/>
      <c r="F78" s="41">
        <f>Source!AL30</f>
        <v>11347.51</v>
      </c>
      <c r="G78" s="40">
        <f>Source!DD30</f>
      </c>
      <c r="H78" s="42">
        <f>ROUND(Source!AC30*Source!I30,2)</f>
        <v>2836.88</v>
      </c>
      <c r="I78" s="40"/>
      <c r="J78" s="40">
        <f>IF(Source!BC30&lt;&gt;0,Source!BC30,1)</f>
        <v>4.9</v>
      </c>
      <c r="K78" s="42">
        <f>Source!P30</f>
        <v>13900.7</v>
      </c>
      <c r="L78" s="43"/>
    </row>
    <row r="79" spans="1:12" ht="14.25">
      <c r="A79" s="37"/>
      <c r="B79" s="38"/>
      <c r="C79" s="38" t="s">
        <v>745</v>
      </c>
      <c r="D79" s="39" t="s">
        <v>746</v>
      </c>
      <c r="E79" s="10">
        <f>Source!BZ30</f>
        <v>105</v>
      </c>
      <c r="F79" s="46" t="str">
        <f>CONCATENATE(" )",Source!DL30,Source!FT30,"=",Source!FX30)</f>
        <v> )*0,9*0,7=66,15</v>
      </c>
      <c r="G79" s="19"/>
      <c r="H79" s="42">
        <f>SUM(S73:S83)</f>
        <v>293.63</v>
      </c>
      <c r="I79" s="47"/>
      <c r="J79" s="36">
        <f>Source!AT30</f>
        <v>66</v>
      </c>
      <c r="K79" s="42">
        <f>SUM(T73:T83)</f>
        <v>9286.88</v>
      </c>
      <c r="L79" s="43"/>
    </row>
    <row r="80" spans="1:12" ht="14.25">
      <c r="A80" s="37"/>
      <c r="B80" s="38"/>
      <c r="C80" s="38" t="s">
        <v>747</v>
      </c>
      <c r="D80" s="39" t="s">
        <v>746</v>
      </c>
      <c r="E80" s="10">
        <f>Source!CA30</f>
        <v>55</v>
      </c>
      <c r="F80" s="46" t="str">
        <f>CONCATENATE(" )",Source!DM30,Source!FU30,"=",Source!FY30)</f>
        <v> )*0,85*0,9=42,075</v>
      </c>
      <c r="G80" s="19"/>
      <c r="H80" s="42">
        <f>SUM(U73:U83)</f>
        <v>186.77</v>
      </c>
      <c r="I80" s="47"/>
      <c r="J80" s="36">
        <f>Source!AU30</f>
        <v>42</v>
      </c>
      <c r="K80" s="42">
        <f>SUM(V73:V83)</f>
        <v>5909.83</v>
      </c>
      <c r="L80" s="43"/>
    </row>
    <row r="81" spans="1:12" ht="14.25">
      <c r="A81" s="37"/>
      <c r="B81" s="38"/>
      <c r="C81" s="38" t="s">
        <v>748</v>
      </c>
      <c r="D81" s="39" t="s">
        <v>749</v>
      </c>
      <c r="E81" s="10">
        <f>Source!AQ30</f>
        <v>166.11</v>
      </c>
      <c r="F81" s="41"/>
      <c r="G81" s="40" t="str">
        <f>Source!DI30</f>
        <v>)*1,15</v>
      </c>
      <c r="H81" s="42"/>
      <c r="I81" s="40"/>
      <c r="J81" s="40"/>
      <c r="K81" s="42"/>
      <c r="L81" s="48">
        <f>Source!U30</f>
        <v>47.756625</v>
      </c>
    </row>
    <row r="82" spans="1:26" ht="42.75">
      <c r="A82" s="37" t="str">
        <f>Source!E31</f>
        <v>4,1</v>
      </c>
      <c r="B82" s="38" t="str">
        <f>Source!F31</f>
        <v>101-0256</v>
      </c>
      <c r="C82" s="38" t="str">
        <f>Source!G31</f>
        <v>Плитки керамические глазурованные для внутренней облицовки стен гладкие без завала белые</v>
      </c>
      <c r="D82" s="39" t="str">
        <f>Source!H31</f>
        <v>м2</v>
      </c>
      <c r="E82" s="10">
        <f>Source!I31</f>
        <v>-24.75</v>
      </c>
      <c r="F82" s="41">
        <f>Source!AK31</f>
        <v>71.18</v>
      </c>
      <c r="G82" s="49" t="s">
        <v>6</v>
      </c>
      <c r="H82" s="42">
        <f>ROUND(Source!AC31*Source!I31,2)+ROUND(Source!AD31*Source!I31,2)+ROUND(Source!AF31*Source!I31,2)</f>
        <v>-1761.71</v>
      </c>
      <c r="I82" s="40"/>
      <c r="J82" s="40">
        <f>IF(Source!BC31&lt;&gt;0,Source!BC31,1)</f>
        <v>4.9</v>
      </c>
      <c r="K82" s="42">
        <f>Source!O31</f>
        <v>-8632.35</v>
      </c>
      <c r="L82" s="43"/>
      <c r="S82">
        <f>ROUND((Source!FX31/100)*((ROUND(Source!AF31*Source!I31,2)+ROUND(Source!AE31*Source!I31,2))),2)</f>
        <v>0</v>
      </c>
      <c r="T82">
        <f>Source!X31</f>
        <v>0</v>
      </c>
      <c r="U82">
        <f>ROUND((Source!FY31/100)*((ROUND(Source!AF31*Source!I31,2)+ROUND(Source!AE31*Source!I31,2))),2)</f>
        <v>0</v>
      </c>
      <c r="V82">
        <f>Source!Y31</f>
        <v>0</v>
      </c>
      <c r="W82">
        <f>IF(Source!BI31&lt;=1,H82,0)</f>
        <v>-1761.71</v>
      </c>
      <c r="X82">
        <f>IF(Source!BI31=2,H82,0)</f>
        <v>0</v>
      </c>
      <c r="Y82">
        <f>IF(Source!BI31=3,H82,0)</f>
        <v>0</v>
      </c>
      <c r="Z82">
        <f>IF(Source!BI31=4,H82,0)</f>
        <v>0</v>
      </c>
    </row>
    <row r="83" spans="1:26" ht="28.5">
      <c r="A83" s="53" t="str">
        <f>Source!E32</f>
        <v>4,2</v>
      </c>
      <c r="B83" s="54" t="str">
        <f>Source!F32</f>
        <v>101-0262-2</v>
      </c>
      <c r="C83" s="54" t="str">
        <f>Source!G32</f>
        <v>Плитки керамические глазурованные "Сокол" цветная, 20х33х0.7</v>
      </c>
      <c r="D83" s="55" t="str">
        <f>Source!H32</f>
        <v>м2</v>
      </c>
      <c r="E83" s="56">
        <f>Source!I32</f>
        <v>24.75</v>
      </c>
      <c r="F83" s="57">
        <f>Source!AK32</f>
        <v>452.95</v>
      </c>
      <c r="G83" s="58" t="s">
        <v>6</v>
      </c>
      <c r="H83" s="59">
        <f>ROUND(Source!AC32*Source!I32,2)+ROUND(Source!AD32*Source!I32,2)+ROUND(Source!AF32*Source!I32,2)</f>
        <v>11210.51</v>
      </c>
      <c r="I83" s="60"/>
      <c r="J83" s="60">
        <f>IF(Source!BC32&lt;&gt;0,Source!BC32,1)</f>
        <v>1</v>
      </c>
      <c r="K83" s="59">
        <f>Source!O32</f>
        <v>11210.51</v>
      </c>
      <c r="L83" s="61"/>
      <c r="S83">
        <f>ROUND((Source!FX32/100)*((ROUND(Source!AF32*Source!I32,2)+ROUND(Source!AE32*Source!I32,2))),2)</f>
        <v>0</v>
      </c>
      <c r="T83">
        <f>Source!X32</f>
        <v>0</v>
      </c>
      <c r="U83">
        <f>ROUND((Source!FY32/100)*((ROUND(Source!AF32*Source!I32,2)+ROUND(Source!AE32*Source!I32,2))),2)</f>
        <v>0</v>
      </c>
      <c r="V83">
        <f>Source!Y32</f>
        <v>0</v>
      </c>
      <c r="W83">
        <f>IF(Source!BI32&lt;=1,H83,0)</f>
        <v>11210.51</v>
      </c>
      <c r="X83">
        <f>IF(Source!BI32=2,H83,0)</f>
        <v>0</v>
      </c>
      <c r="Y83">
        <f>IF(Source!BI32=3,H83,0)</f>
        <v>0</v>
      </c>
      <c r="Z83">
        <f>IF(Source!BI32=4,H83,0)</f>
        <v>0</v>
      </c>
    </row>
    <row r="84" spans="7:26" ht="15">
      <c r="G84" s="51">
        <f>H75+H76+H78+H79+H80+SUM(H82:H83)</f>
        <v>13214.66</v>
      </c>
      <c r="H84" s="51"/>
      <c r="J84" s="51">
        <f>K75+K76+K78+K79+K80+SUM(K82:K83)</f>
        <v>45773.630000000005</v>
      </c>
      <c r="K84" s="51"/>
      <c r="L84" s="52">
        <f>Source!U30</f>
        <v>47.756625</v>
      </c>
      <c r="O84" s="50">
        <f>G84</f>
        <v>13214.66</v>
      </c>
      <c r="P84" s="50">
        <f>J84</f>
        <v>45773.630000000005</v>
      </c>
      <c r="Q84" s="50">
        <f>L84</f>
        <v>47.756625</v>
      </c>
      <c r="W84">
        <f>IF(Source!BI30&lt;=1,H75+H76+H78+H79+H80,0)</f>
        <v>3765.86</v>
      </c>
      <c r="X84">
        <f>IF(Source!BI30=2,H75+H76+H78+H79+H80,0)</f>
        <v>0</v>
      </c>
      <c r="Y84">
        <f>IF(Source!BI30=3,H75+H76+H78+H79+H80,0)</f>
        <v>0</v>
      </c>
      <c r="Z84">
        <f>IF(Source!BI30=4,H75+H76+H78+H79+H80,0)</f>
        <v>0</v>
      </c>
    </row>
    <row r="85" spans="1:22" ht="42.75">
      <c r="A85" s="37" t="str">
        <f>Source!E33</f>
        <v>5</v>
      </c>
      <c r="B85" s="38" t="str">
        <f>Source!F33</f>
        <v>11-01-300-1</v>
      </c>
      <c r="C85" s="38" t="str">
        <f>Source!G33</f>
        <v>Устройство покрытий из керамогранитных плиток размером 30х30 см</v>
      </c>
      <c r="D85" s="39" t="str">
        <f>Source!H33</f>
        <v>100 м2</v>
      </c>
      <c r="E85" s="10">
        <f>Source!I33</f>
        <v>0.041</v>
      </c>
      <c r="F85" s="41">
        <f>IF(Source!AK33&lt;&gt;0,Source!AK33,Source!AL33+Source!AM33+Source!AO33)</f>
        <v>9873.01</v>
      </c>
      <c r="G85" s="40"/>
      <c r="H85" s="42"/>
      <c r="I85" s="40" t="str">
        <f>Source!BO33</f>
        <v>11-01-300-1</v>
      </c>
      <c r="J85" s="40"/>
      <c r="K85" s="42"/>
      <c r="L85" s="43"/>
      <c r="S85">
        <f>ROUND((Source!FX33/100)*((ROUND(Source!AF33*Source!I33,2)+ROUND(Source!AE33*Source!I33,2))),2)</f>
        <v>26.3</v>
      </c>
      <c r="T85">
        <f>Source!X33</f>
        <v>828.35</v>
      </c>
      <c r="U85">
        <f>ROUND((Source!FY33/100)*((ROUND(Source!AF33*Source!I33,2)+ROUND(Source!AE33*Source!I33,2))),2)</f>
        <v>19.47</v>
      </c>
      <c r="V85">
        <f>Source!Y33</f>
        <v>613.19</v>
      </c>
    </row>
    <row r="86" ht="12.75">
      <c r="C86" s="44" t="str">
        <f>"Объем: "&amp;Source!I33&amp;"=4,1/"&amp;"100"</f>
        <v>Объем: 0,041=4,1/100</v>
      </c>
    </row>
    <row r="87" spans="1:18" ht="14.25">
      <c r="A87" s="37"/>
      <c r="B87" s="38"/>
      <c r="C87" s="38" t="s">
        <v>742</v>
      </c>
      <c r="D87" s="39"/>
      <c r="E87" s="10"/>
      <c r="F87" s="41">
        <f>Source!AO33</f>
        <v>669.75</v>
      </c>
      <c r="G87" s="40" t="str">
        <f>Source!DG33</f>
        <v>)*1,15</v>
      </c>
      <c r="H87" s="42">
        <f>ROUND(Source!AF33*Source!I33,2)</f>
        <v>31.58</v>
      </c>
      <c r="I87" s="40"/>
      <c r="J87" s="40">
        <f>IF(Source!BA33&lt;&gt;0,Source!BA33,1)</f>
        <v>31.7</v>
      </c>
      <c r="K87" s="42">
        <f>Source!S33</f>
        <v>1001.05</v>
      </c>
      <c r="L87" s="43"/>
      <c r="R87">
        <f>H87</f>
        <v>31.58</v>
      </c>
    </row>
    <row r="88" spans="1:12" ht="14.25">
      <c r="A88" s="37"/>
      <c r="B88" s="38"/>
      <c r="C88" s="38" t="s">
        <v>234</v>
      </c>
      <c r="D88" s="39"/>
      <c r="E88" s="10"/>
      <c r="F88" s="41">
        <f>Source!AM33</f>
        <v>147.97</v>
      </c>
      <c r="G88" s="40" t="str">
        <f>Source!DE33</f>
        <v>)*1,25</v>
      </c>
      <c r="H88" s="42">
        <f>ROUND(Source!AD33*Source!I33,2)</f>
        <v>7.58</v>
      </c>
      <c r="I88" s="40"/>
      <c r="J88" s="40">
        <f>IF(Source!BB33&lt;&gt;0,Source!BB33,1)</f>
        <v>14</v>
      </c>
      <c r="K88" s="42">
        <f>Source!Q33</f>
        <v>106.17</v>
      </c>
      <c r="L88" s="43"/>
    </row>
    <row r="89" spans="1:18" ht="14.25">
      <c r="A89" s="37"/>
      <c r="B89" s="38"/>
      <c r="C89" s="38" t="s">
        <v>743</v>
      </c>
      <c r="D89" s="39"/>
      <c r="E89" s="10"/>
      <c r="F89" s="41">
        <f>Source!AN33</f>
        <v>46</v>
      </c>
      <c r="G89" s="40" t="str">
        <f>Source!DF33</f>
        <v>)*1,25</v>
      </c>
      <c r="H89" s="45">
        <f>ROUND(Source!AE33*Source!I33,2)</f>
        <v>2.36</v>
      </c>
      <c r="I89" s="40"/>
      <c r="J89" s="40">
        <f>IF(Source!BS33&lt;&gt;0,Source!BS33,1)</f>
        <v>31.7</v>
      </c>
      <c r="K89" s="45">
        <f>Source!R33</f>
        <v>74.73</v>
      </c>
      <c r="L89" s="43"/>
      <c r="R89">
        <f>H89</f>
        <v>2.36</v>
      </c>
    </row>
    <row r="90" spans="1:12" ht="14.25">
      <c r="A90" s="37"/>
      <c r="B90" s="38"/>
      <c r="C90" s="38" t="s">
        <v>744</v>
      </c>
      <c r="D90" s="39"/>
      <c r="E90" s="10"/>
      <c r="F90" s="41">
        <f>Source!AL33</f>
        <v>9055.29</v>
      </c>
      <c r="G90" s="40">
        <f>Source!DD33</f>
      </c>
      <c r="H90" s="42">
        <f>ROUND(Source!AC33*Source!I33,2)</f>
        <v>371.27</v>
      </c>
      <c r="I90" s="40"/>
      <c r="J90" s="40">
        <f>IF(Source!BC33&lt;&gt;0,Source!BC33,1)</f>
        <v>4.55</v>
      </c>
      <c r="K90" s="42">
        <f>Source!P33</f>
        <v>1689.26</v>
      </c>
      <c r="L90" s="43"/>
    </row>
    <row r="91" spans="1:12" ht="14.25">
      <c r="A91" s="37"/>
      <c r="B91" s="38"/>
      <c r="C91" s="38" t="s">
        <v>745</v>
      </c>
      <c r="D91" s="39" t="s">
        <v>746</v>
      </c>
      <c r="E91" s="10">
        <f>Source!BZ33</f>
        <v>123</v>
      </c>
      <c r="F91" s="46" t="str">
        <f>CONCATENATE(" )",Source!DL33,Source!FT33,"=",Source!FX33)</f>
        <v> )*0,9*0,7=77,49</v>
      </c>
      <c r="G91" s="19"/>
      <c r="H91" s="42">
        <f>SUM(S85:S93)</f>
        <v>26.3</v>
      </c>
      <c r="I91" s="47"/>
      <c r="J91" s="36">
        <f>Source!AT33</f>
        <v>77</v>
      </c>
      <c r="K91" s="42">
        <f>SUM(T85:T93)</f>
        <v>828.35</v>
      </c>
      <c r="L91" s="43"/>
    </row>
    <row r="92" spans="1:12" ht="14.25">
      <c r="A92" s="37"/>
      <c r="B92" s="38"/>
      <c r="C92" s="38" t="s">
        <v>747</v>
      </c>
      <c r="D92" s="39" t="s">
        <v>746</v>
      </c>
      <c r="E92" s="10">
        <f>Source!CA33</f>
        <v>75</v>
      </c>
      <c r="F92" s="46" t="str">
        <f>CONCATENATE(" )",Source!DM33,Source!FU33,"=",Source!FY33)</f>
        <v> )*0,85*0,9=57,375</v>
      </c>
      <c r="G92" s="19"/>
      <c r="H92" s="42">
        <f>SUM(U85:U93)</f>
        <v>19.47</v>
      </c>
      <c r="I92" s="47"/>
      <c r="J92" s="36">
        <f>Source!AU33</f>
        <v>57</v>
      </c>
      <c r="K92" s="42">
        <f>SUM(V85:V93)</f>
        <v>613.19</v>
      </c>
      <c r="L92" s="43"/>
    </row>
    <row r="93" spans="1:12" ht="14.25">
      <c r="A93" s="53"/>
      <c r="B93" s="54"/>
      <c r="C93" s="54" t="s">
        <v>748</v>
      </c>
      <c r="D93" s="55" t="s">
        <v>749</v>
      </c>
      <c r="E93" s="56">
        <f>Source!AQ33</f>
        <v>76.63</v>
      </c>
      <c r="F93" s="57"/>
      <c r="G93" s="60" t="str">
        <f>Source!DI33</f>
        <v>)*1,15</v>
      </c>
      <c r="H93" s="59"/>
      <c r="I93" s="60"/>
      <c r="J93" s="60"/>
      <c r="K93" s="59"/>
      <c r="L93" s="62">
        <f>Source!U33</f>
        <v>3.6131044999999995</v>
      </c>
    </row>
    <row r="94" spans="7:26" ht="15">
      <c r="G94" s="51">
        <f>H87+H88+H90+H91+H92</f>
        <v>456.19999999999993</v>
      </c>
      <c r="H94" s="51"/>
      <c r="J94" s="51">
        <f>K87+K88+K90+K91+K92</f>
        <v>4238.02</v>
      </c>
      <c r="K94" s="51"/>
      <c r="L94" s="52">
        <f>Source!U33</f>
        <v>3.6131044999999995</v>
      </c>
      <c r="O94" s="50">
        <f>G94</f>
        <v>456.19999999999993</v>
      </c>
      <c r="P94" s="50">
        <f>J94</f>
        <v>4238.02</v>
      </c>
      <c r="Q94" s="50">
        <f>L94</f>
        <v>3.6131044999999995</v>
      </c>
      <c r="W94">
        <f>IF(Source!BI33&lt;=1,H87+H88+H90+H91+H92,0)</f>
        <v>456.19999999999993</v>
      </c>
      <c r="X94">
        <f>IF(Source!BI33=2,H87+H88+H90+H91+H92,0)</f>
        <v>0</v>
      </c>
      <c r="Y94">
        <f>IF(Source!BI33=3,H87+H88+H90+H91+H92,0)</f>
        <v>0</v>
      </c>
      <c r="Z94">
        <f>IF(Source!BI33=4,H87+H88+H90+H91+H92,0)</f>
        <v>0</v>
      </c>
    </row>
    <row r="95" spans="1:22" ht="42.75">
      <c r="A95" s="37" t="str">
        <f>Source!E34</f>
        <v>6</v>
      </c>
      <c r="B95" s="38" t="str">
        <f>Source!F34</f>
        <v>11-01-034-4</v>
      </c>
      <c r="C95" s="38" t="str">
        <f>Source!G34</f>
        <v>Устройство покрытий из досок ламинированных замковым способом</v>
      </c>
      <c r="D95" s="39" t="str">
        <f>Source!H34</f>
        <v>100 м2 покрытия</v>
      </c>
      <c r="E95" s="10">
        <f>Source!I34</f>
        <v>0.057</v>
      </c>
      <c r="F95" s="41">
        <f>IF(Source!AK34&lt;&gt;0,Source!AK34,Source!AL34+Source!AM34+Source!AO34)</f>
        <v>10767.52</v>
      </c>
      <c r="G95" s="40"/>
      <c r="H95" s="42"/>
      <c r="I95" s="40" t="str">
        <f>Source!BO34</f>
        <v>11-01-034-4</v>
      </c>
      <c r="J95" s="40"/>
      <c r="K95" s="42"/>
      <c r="L95" s="43"/>
      <c r="S95">
        <f>ROUND((Source!FX34/100)*((ROUND(Source!AF34*Source!I34,2)+ROUND(Source!AE34*Source!I34,2))),2)</f>
        <v>12.23</v>
      </c>
      <c r="T95">
        <f>Source!X34</f>
        <v>385.17</v>
      </c>
      <c r="U95">
        <f>ROUND((Source!FY34/100)*((ROUND(Source!AF34*Source!I34,2)+ROUND(Source!AE34*Source!I34,2))),2)</f>
        <v>9.05</v>
      </c>
      <c r="V95">
        <f>Source!Y34</f>
        <v>285.13</v>
      </c>
    </row>
    <row r="96" ht="12.75">
      <c r="C96" s="44" t="str">
        <f>"Объем: "&amp;Source!I34&amp;"=5,7/"&amp;"100"</f>
        <v>Объем: 0,057=5,7/100</v>
      </c>
    </row>
    <row r="97" spans="1:18" ht="14.25">
      <c r="A97" s="37"/>
      <c r="B97" s="38"/>
      <c r="C97" s="38" t="s">
        <v>742</v>
      </c>
      <c r="D97" s="39"/>
      <c r="E97" s="10"/>
      <c r="F97" s="41">
        <f>Source!AO34</f>
        <v>240.73</v>
      </c>
      <c r="G97" s="40" t="str">
        <f>Source!DG34</f>
        <v>)*1,15</v>
      </c>
      <c r="H97" s="42">
        <f>ROUND(Source!AF34*Source!I34,2)</f>
        <v>15.78</v>
      </c>
      <c r="I97" s="40"/>
      <c r="J97" s="40">
        <f>IF(Source!BA34&lt;&gt;0,Source!BA34,1)</f>
        <v>31.7</v>
      </c>
      <c r="K97" s="42">
        <f>Source!S34</f>
        <v>500.22</v>
      </c>
      <c r="L97" s="43"/>
      <c r="R97">
        <f>H97</f>
        <v>15.78</v>
      </c>
    </row>
    <row r="98" spans="1:12" ht="14.25">
      <c r="A98" s="37"/>
      <c r="B98" s="38"/>
      <c r="C98" s="38" t="s">
        <v>234</v>
      </c>
      <c r="D98" s="39"/>
      <c r="E98" s="10"/>
      <c r="F98" s="41">
        <f>Source!AM34</f>
        <v>9.51</v>
      </c>
      <c r="G98" s="40" t="str">
        <f>Source!DE34</f>
        <v>)*1,25</v>
      </c>
      <c r="H98" s="42">
        <f>ROUND(Source!AD34*Source!I34,2)</f>
        <v>0.68</v>
      </c>
      <c r="I98" s="40"/>
      <c r="J98" s="40">
        <f>IF(Source!BB34&lt;&gt;0,Source!BB34,1)</f>
        <v>10.38</v>
      </c>
      <c r="K98" s="42">
        <f>Source!Q34</f>
        <v>7.03</v>
      </c>
      <c r="L98" s="43"/>
    </row>
    <row r="99" spans="1:12" ht="14.25">
      <c r="A99" s="37"/>
      <c r="B99" s="38"/>
      <c r="C99" s="38" t="s">
        <v>744</v>
      </c>
      <c r="D99" s="39"/>
      <c r="E99" s="10"/>
      <c r="F99" s="41">
        <f>Source!AL34</f>
        <v>10517.28</v>
      </c>
      <c r="G99" s="40">
        <f>Source!DD34</f>
      </c>
      <c r="H99" s="42">
        <f>ROUND(Source!AC34*Source!I34,2)</f>
        <v>599.48</v>
      </c>
      <c r="I99" s="40"/>
      <c r="J99" s="40">
        <f>IF(Source!BC34&lt;&gt;0,Source!BC34,1)</f>
        <v>3.17</v>
      </c>
      <c r="K99" s="42">
        <f>Source!P34</f>
        <v>1900.37</v>
      </c>
      <c r="L99" s="43"/>
    </row>
    <row r="100" spans="1:12" ht="14.25">
      <c r="A100" s="37"/>
      <c r="B100" s="38"/>
      <c r="C100" s="38" t="s">
        <v>745</v>
      </c>
      <c r="D100" s="39" t="s">
        <v>746</v>
      </c>
      <c r="E100" s="10">
        <f>Source!BZ34</f>
        <v>123</v>
      </c>
      <c r="F100" s="46" t="str">
        <f>CONCATENATE(" )",Source!DL34,Source!FT34,"=",Source!FX34)</f>
        <v> )*0,9*0,7=77,49</v>
      </c>
      <c r="G100" s="19"/>
      <c r="H100" s="42">
        <f>SUM(S95:S102)</f>
        <v>12.23</v>
      </c>
      <c r="I100" s="47"/>
      <c r="J100" s="36">
        <f>Source!AT34</f>
        <v>77</v>
      </c>
      <c r="K100" s="42">
        <f>SUM(T95:T102)</f>
        <v>385.17</v>
      </c>
      <c r="L100" s="43"/>
    </row>
    <row r="101" spans="1:12" ht="14.25">
      <c r="A101" s="37"/>
      <c r="B101" s="38"/>
      <c r="C101" s="38" t="s">
        <v>747</v>
      </c>
      <c r="D101" s="39" t="s">
        <v>746</v>
      </c>
      <c r="E101" s="10">
        <f>Source!CA34</f>
        <v>75</v>
      </c>
      <c r="F101" s="46" t="str">
        <f>CONCATENATE(" )",Source!DM34,Source!FU34,"=",Source!FY34)</f>
        <v> )*0,85*0,9=57,375</v>
      </c>
      <c r="G101" s="19"/>
      <c r="H101" s="42">
        <f>SUM(U95:U102)</f>
        <v>9.05</v>
      </c>
      <c r="I101" s="47"/>
      <c r="J101" s="36">
        <f>Source!AU34</f>
        <v>57</v>
      </c>
      <c r="K101" s="42">
        <f>SUM(V95:V102)</f>
        <v>285.13</v>
      </c>
      <c r="L101" s="43"/>
    </row>
    <row r="102" spans="1:12" ht="14.25">
      <c r="A102" s="53"/>
      <c r="B102" s="54"/>
      <c r="C102" s="54" t="s">
        <v>748</v>
      </c>
      <c r="D102" s="55" t="s">
        <v>749</v>
      </c>
      <c r="E102" s="56">
        <f>Source!AQ34</f>
        <v>25.61</v>
      </c>
      <c r="F102" s="57"/>
      <c r="G102" s="60" t="str">
        <f>Source!DI34</f>
        <v>)*1,15</v>
      </c>
      <c r="H102" s="59"/>
      <c r="I102" s="60"/>
      <c r="J102" s="60"/>
      <c r="K102" s="59"/>
      <c r="L102" s="62">
        <f>Source!U34</f>
        <v>1.6787354999999997</v>
      </c>
    </row>
    <row r="103" spans="7:26" ht="15">
      <c r="G103" s="51">
        <f>H97+H98+H99+H100+H101</f>
        <v>637.22</v>
      </c>
      <c r="H103" s="51"/>
      <c r="J103" s="51">
        <f>K97+K98+K99+K100+K101</f>
        <v>3077.92</v>
      </c>
      <c r="K103" s="51"/>
      <c r="L103" s="52">
        <f>Source!U34</f>
        <v>1.6787354999999997</v>
      </c>
      <c r="O103" s="50">
        <f>G103</f>
        <v>637.22</v>
      </c>
      <c r="P103" s="50">
        <f>J103</f>
        <v>3077.92</v>
      </c>
      <c r="Q103" s="50">
        <f>L103</f>
        <v>1.6787354999999997</v>
      </c>
      <c r="W103">
        <f>IF(Source!BI34&lt;=1,H97+H98+H99+H100+H101,0)</f>
        <v>637.22</v>
      </c>
      <c r="X103">
        <f>IF(Source!BI34=2,H97+H98+H99+H100+H101,0)</f>
        <v>0</v>
      </c>
      <c r="Y103">
        <f>IF(Source!BI34=3,H97+H98+H99+H100+H101,0)</f>
        <v>0</v>
      </c>
      <c r="Z103">
        <f>IF(Source!BI34=4,H97+H98+H99+H100+H101,0)</f>
        <v>0</v>
      </c>
    </row>
    <row r="104" spans="1:22" ht="28.5">
      <c r="A104" s="37" t="str">
        <f>Source!E35</f>
        <v>7</v>
      </c>
      <c r="B104" s="38" t="str">
        <f>Source!F35</f>
        <v>11-01-049-1</v>
      </c>
      <c r="C104" s="38" t="str">
        <f>Source!G35</f>
        <v>Укладка металлического накладного профиля (порога)</v>
      </c>
      <c r="D104" s="39" t="str">
        <f>Source!H35</f>
        <v>100 м профиля</v>
      </c>
      <c r="E104" s="10">
        <f>Source!I35</f>
        <v>0.11</v>
      </c>
      <c r="F104" s="41">
        <f>IF(Source!AK35&lt;&gt;0,Source!AK35,Source!AL35+Source!AM35+Source!AO35)</f>
        <v>248.94</v>
      </c>
      <c r="G104" s="40"/>
      <c r="H104" s="42"/>
      <c r="I104" s="40" t="str">
        <f>Source!BO35</f>
        <v>11-01-049-1</v>
      </c>
      <c r="J104" s="40"/>
      <c r="K104" s="42"/>
      <c r="L104" s="43"/>
      <c r="S104">
        <f>ROUND((Source!FX35/100)*((ROUND(Source!AF35*Source!I35,2)+ROUND(Source!AE35*Source!I35,2))),2)</f>
        <v>14.26</v>
      </c>
      <c r="T104">
        <f>Source!X35</f>
        <v>449.05</v>
      </c>
      <c r="U104">
        <f>ROUND((Source!FY35/100)*((ROUND(Source!AF35*Source!I35,2)+ROUND(Source!AE35*Source!I35,2))),2)</f>
        <v>10.56</v>
      </c>
      <c r="V104">
        <f>Source!Y35</f>
        <v>332.41</v>
      </c>
    </row>
    <row r="105" ht="12.75">
      <c r="C105" s="44" t="str">
        <f>"Объем: "&amp;Source!I35&amp;"=11/"&amp;"100"</f>
        <v>Объем: 0,11=11/100</v>
      </c>
    </row>
    <row r="106" spans="1:18" ht="14.25">
      <c r="A106" s="37"/>
      <c r="B106" s="38"/>
      <c r="C106" s="38" t="s">
        <v>742</v>
      </c>
      <c r="D106" s="39"/>
      <c r="E106" s="10"/>
      <c r="F106" s="41">
        <f>Source!AO35</f>
        <v>145.43</v>
      </c>
      <c r="G106" s="40" t="str">
        <f>Source!DG35</f>
        <v>)*1,15</v>
      </c>
      <c r="H106" s="42">
        <f>ROUND(Source!AF35*Source!I35,2)</f>
        <v>18.4</v>
      </c>
      <c r="I106" s="40"/>
      <c r="J106" s="40">
        <f>IF(Source!BA35&lt;&gt;0,Source!BA35,1)</f>
        <v>31.7</v>
      </c>
      <c r="K106" s="42">
        <f>Source!S35</f>
        <v>583.18</v>
      </c>
      <c r="L106" s="43"/>
      <c r="R106">
        <f>H106</f>
        <v>18.4</v>
      </c>
    </row>
    <row r="107" spans="1:12" ht="14.25">
      <c r="A107" s="37"/>
      <c r="B107" s="38"/>
      <c r="C107" s="38" t="s">
        <v>234</v>
      </c>
      <c r="D107" s="39"/>
      <c r="E107" s="10"/>
      <c r="F107" s="41">
        <f>Source!AM35</f>
        <v>23.11</v>
      </c>
      <c r="G107" s="40" t="str">
        <f>Source!DE35</f>
        <v>)*1,25</v>
      </c>
      <c r="H107" s="42">
        <f>ROUND(Source!AD35*Source!I35,2)</f>
        <v>3.18</v>
      </c>
      <c r="I107" s="40"/>
      <c r="J107" s="40">
        <f>IF(Source!BB35&lt;&gt;0,Source!BB35,1)</f>
        <v>4.14</v>
      </c>
      <c r="K107" s="42">
        <f>Source!Q35</f>
        <v>13.16</v>
      </c>
      <c r="L107" s="43"/>
    </row>
    <row r="108" spans="1:12" ht="14.25">
      <c r="A108" s="37"/>
      <c r="B108" s="38"/>
      <c r="C108" s="38" t="s">
        <v>744</v>
      </c>
      <c r="D108" s="39"/>
      <c r="E108" s="10"/>
      <c r="F108" s="41">
        <f>Source!AL35</f>
        <v>80.4</v>
      </c>
      <c r="G108" s="40">
        <f>Source!DD35</f>
      </c>
      <c r="H108" s="42">
        <f>ROUND(Source!AC35*Source!I35,2)</f>
        <v>8.84</v>
      </c>
      <c r="I108" s="40"/>
      <c r="J108" s="40">
        <f>IF(Source!BC35&lt;&gt;0,Source!BC35,1)</f>
        <v>1.75</v>
      </c>
      <c r="K108" s="42">
        <f>Source!P35</f>
        <v>15.48</v>
      </c>
      <c r="L108" s="43"/>
    </row>
    <row r="109" spans="1:12" ht="14.25">
      <c r="A109" s="37"/>
      <c r="B109" s="38"/>
      <c r="C109" s="38" t="s">
        <v>745</v>
      </c>
      <c r="D109" s="39" t="s">
        <v>746</v>
      </c>
      <c r="E109" s="10">
        <f>Source!BZ35</f>
        <v>123</v>
      </c>
      <c r="F109" s="46" t="str">
        <f>CONCATENATE(" )",Source!DL35,Source!FT35,"=",Source!FX35)</f>
        <v> )*0,9*0,7=77,49</v>
      </c>
      <c r="G109" s="19"/>
      <c r="H109" s="42">
        <f>SUM(S104:S112)</f>
        <v>14.26</v>
      </c>
      <c r="I109" s="47"/>
      <c r="J109" s="36">
        <f>Source!AT35</f>
        <v>77</v>
      </c>
      <c r="K109" s="42">
        <f>SUM(T104:T112)</f>
        <v>449.05</v>
      </c>
      <c r="L109" s="43"/>
    </row>
    <row r="110" spans="1:12" ht="14.25">
      <c r="A110" s="37"/>
      <c r="B110" s="38"/>
      <c r="C110" s="38" t="s">
        <v>747</v>
      </c>
      <c r="D110" s="39" t="s">
        <v>746</v>
      </c>
      <c r="E110" s="10">
        <f>Source!CA35</f>
        <v>75</v>
      </c>
      <c r="F110" s="46" t="str">
        <f>CONCATENATE(" )",Source!DM35,Source!FU35,"=",Source!FY35)</f>
        <v> )*0,85*0,9=57,375</v>
      </c>
      <c r="G110" s="19"/>
      <c r="H110" s="42">
        <f>SUM(U104:U112)</f>
        <v>10.56</v>
      </c>
      <c r="I110" s="47"/>
      <c r="J110" s="36">
        <f>Source!AU35</f>
        <v>57</v>
      </c>
      <c r="K110" s="42">
        <f>SUM(V104:V112)</f>
        <v>332.41</v>
      </c>
      <c r="L110" s="43"/>
    </row>
    <row r="111" spans="1:12" ht="14.25">
      <c r="A111" s="37"/>
      <c r="B111" s="38"/>
      <c r="C111" s="38" t="s">
        <v>748</v>
      </c>
      <c r="D111" s="39" t="s">
        <v>749</v>
      </c>
      <c r="E111" s="10">
        <f>Source!AQ35</f>
        <v>16.64</v>
      </c>
      <c r="F111" s="41"/>
      <c r="G111" s="40" t="str">
        <f>Source!DI35</f>
        <v>)*1,15</v>
      </c>
      <c r="H111" s="42"/>
      <c r="I111" s="40"/>
      <c r="J111" s="40"/>
      <c r="K111" s="42"/>
      <c r="L111" s="48">
        <f>Source!U35</f>
        <v>2.1049599999999997</v>
      </c>
    </row>
    <row r="112" spans="1:26" ht="42.75">
      <c r="A112" s="53" t="str">
        <f>Source!E36</f>
        <v>7,1</v>
      </c>
      <c r="B112" s="54" t="str">
        <f>Source!F36</f>
        <v>206-1348</v>
      </c>
      <c r="C112" s="54" t="str">
        <f>Source!G36</f>
        <v>Профили стыкоперекрывающие из алюминиевых сплавов (порожки) с покрытием, шириной 30 мм</v>
      </c>
      <c r="D112" s="55" t="str">
        <f>Source!H36</f>
        <v>м</v>
      </c>
      <c r="E112" s="56">
        <f>Source!I36</f>
        <v>11.55</v>
      </c>
      <c r="F112" s="57">
        <f>Source!AK36</f>
        <v>52.55</v>
      </c>
      <c r="G112" s="58" t="s">
        <v>6</v>
      </c>
      <c r="H112" s="59">
        <f>ROUND(Source!AC36*Source!I36,2)+ROUND(Source!AD36*Source!I36,2)+ROUND(Source!AF36*Source!I36,2)</f>
        <v>606.95</v>
      </c>
      <c r="I112" s="60"/>
      <c r="J112" s="60">
        <f>IF(Source!BC36&lt;&gt;0,Source!BC36,1)</f>
        <v>1.06</v>
      </c>
      <c r="K112" s="59">
        <f>Source!O36</f>
        <v>643.37</v>
      </c>
      <c r="L112" s="61"/>
      <c r="S112">
        <f>ROUND((Source!FX36/100)*((ROUND(Source!AF36*Source!I36,2)+ROUND(Source!AE36*Source!I36,2))),2)</f>
        <v>0</v>
      </c>
      <c r="T112">
        <f>Source!X36</f>
        <v>0</v>
      </c>
      <c r="U112">
        <f>ROUND((Source!FY36/100)*((ROUND(Source!AF36*Source!I36,2)+ROUND(Source!AE36*Source!I36,2))),2)</f>
        <v>0</v>
      </c>
      <c r="V112">
        <f>Source!Y36</f>
        <v>0</v>
      </c>
      <c r="W112">
        <f>IF(Source!BI36&lt;=1,H112,0)</f>
        <v>606.95</v>
      </c>
      <c r="X112">
        <f>IF(Source!BI36=2,H112,0)</f>
        <v>0</v>
      </c>
      <c r="Y112">
        <f>IF(Source!BI36=3,H112,0)</f>
        <v>0</v>
      </c>
      <c r="Z112">
        <f>IF(Source!BI36=4,H112,0)</f>
        <v>0</v>
      </c>
    </row>
    <row r="113" spans="7:26" ht="15">
      <c r="G113" s="51">
        <f>H106+H107+H108+H109+H110+SUM(H112:H112)</f>
        <v>662.19</v>
      </c>
      <c r="H113" s="51"/>
      <c r="J113" s="51">
        <f>K106+K107+K108+K109+K110+SUM(K112:K112)</f>
        <v>2036.65</v>
      </c>
      <c r="K113" s="51"/>
      <c r="L113" s="52">
        <f>Source!U35</f>
        <v>2.1049599999999997</v>
      </c>
      <c r="O113" s="50">
        <f>G113</f>
        <v>662.19</v>
      </c>
      <c r="P113" s="50">
        <f>J113</f>
        <v>2036.65</v>
      </c>
      <c r="Q113" s="50">
        <f>L113</f>
        <v>2.1049599999999997</v>
      </c>
      <c r="W113">
        <f>IF(Source!BI35&lt;=1,H106+H107+H108+H109+H110,0)</f>
        <v>55.24</v>
      </c>
      <c r="X113">
        <f>IF(Source!BI35=2,H106+H107+H108+H109+H110,0)</f>
        <v>0</v>
      </c>
      <c r="Y113">
        <f>IF(Source!BI35=3,H106+H107+H108+H109+H110,0)</f>
        <v>0</v>
      </c>
      <c r="Z113">
        <f>IF(Source!BI35=4,H106+H107+H108+H109+H110,0)</f>
        <v>0</v>
      </c>
    </row>
    <row r="114" spans="1:22" ht="71.25">
      <c r="A114" s="37" t="str">
        <f>Source!E37</f>
        <v>8</v>
      </c>
      <c r="B114" s="38" t="str">
        <f>Source!F37</f>
        <v>15-01-047-16</v>
      </c>
      <c r="C114" s="38" t="str">
        <f>Source!G37</f>
        <v>Устройство потолков реечных алюминиевых</v>
      </c>
      <c r="D114" s="39" t="str">
        <f>Source!H37</f>
        <v>100 м2 поверхности облицовки</v>
      </c>
      <c r="E114" s="10">
        <f>Source!I37</f>
        <v>0.041</v>
      </c>
      <c r="F114" s="41">
        <f>IF(Source!AK37&lt;&gt;0,Source!AK37,Source!AL37+Source!AM37+Source!AO37)</f>
        <v>29871.17</v>
      </c>
      <c r="G114" s="40"/>
      <c r="H114" s="42"/>
      <c r="I114" s="40" t="str">
        <f>Source!BO37</f>
        <v>15-01-047-16</v>
      </c>
      <c r="J114" s="40"/>
      <c r="K114" s="42"/>
      <c r="L114" s="43"/>
      <c r="S114">
        <f>ROUND((Source!FX37/100)*((ROUND(Source!AF37*Source!I37,2)+ROUND(Source!AE37*Source!I37,2))),2)</f>
        <v>31.88</v>
      </c>
      <c r="T114">
        <f>Source!X37</f>
        <v>1008.43</v>
      </c>
      <c r="U114">
        <f>ROUND((Source!FY37/100)*((ROUND(Source!AF37*Source!I37,2)+ROUND(Source!AE37*Source!I37,2))),2)</f>
        <v>20.28</v>
      </c>
      <c r="V114">
        <f>Source!Y37</f>
        <v>641.73</v>
      </c>
    </row>
    <row r="115" ht="12.75">
      <c r="C115" s="44" t="str">
        <f>"Объем: "&amp;Source!I37&amp;"=4,1/"&amp;"100"</f>
        <v>Объем: 0,041=4,1/100</v>
      </c>
    </row>
    <row r="116" spans="1:18" ht="14.25">
      <c r="A116" s="37"/>
      <c r="B116" s="38"/>
      <c r="C116" s="38" t="s">
        <v>742</v>
      </c>
      <c r="D116" s="39"/>
      <c r="E116" s="10"/>
      <c r="F116" s="41">
        <f>Source!AO37</f>
        <v>1018.58</v>
      </c>
      <c r="G116" s="40" t="str">
        <f>Source!DG37</f>
        <v>)*1,15</v>
      </c>
      <c r="H116" s="42">
        <f>ROUND(Source!AF37*Source!I37,2)</f>
        <v>48.03</v>
      </c>
      <c r="I116" s="40"/>
      <c r="J116" s="40">
        <f>IF(Source!BA37&lt;&gt;0,Source!BA37,1)</f>
        <v>31.7</v>
      </c>
      <c r="K116" s="42">
        <f>Source!S37</f>
        <v>1522.43</v>
      </c>
      <c r="L116" s="43"/>
      <c r="R116">
        <f>H116</f>
        <v>48.03</v>
      </c>
    </row>
    <row r="117" spans="1:12" ht="14.25">
      <c r="A117" s="37"/>
      <c r="B117" s="38"/>
      <c r="C117" s="38" t="s">
        <v>234</v>
      </c>
      <c r="D117" s="39"/>
      <c r="E117" s="10"/>
      <c r="F117" s="41">
        <f>Source!AM37</f>
        <v>158.89</v>
      </c>
      <c r="G117" s="40" t="str">
        <f>Source!DE37</f>
        <v>)*1,25</v>
      </c>
      <c r="H117" s="42">
        <f>ROUND(Source!AD37*Source!I37,2)</f>
        <v>8.14</v>
      </c>
      <c r="I117" s="40"/>
      <c r="J117" s="40">
        <f>IF(Source!BB37&lt;&gt;0,Source!BB37,1)</f>
        <v>10.05</v>
      </c>
      <c r="K117" s="42">
        <f>Source!Q37</f>
        <v>81.84</v>
      </c>
      <c r="L117" s="43"/>
    </row>
    <row r="118" spans="1:18" ht="14.25">
      <c r="A118" s="37"/>
      <c r="B118" s="38"/>
      <c r="C118" s="38" t="s">
        <v>743</v>
      </c>
      <c r="D118" s="39"/>
      <c r="E118" s="10"/>
      <c r="F118" s="41">
        <f>Source!AN37</f>
        <v>3.38</v>
      </c>
      <c r="G118" s="40" t="str">
        <f>Source!DF37</f>
        <v>)*1,25</v>
      </c>
      <c r="H118" s="45">
        <f>ROUND(Source!AE37*Source!I37,2)</f>
        <v>0.17</v>
      </c>
      <c r="I118" s="40"/>
      <c r="J118" s="40">
        <f>IF(Source!BS37&lt;&gt;0,Source!BS37,1)</f>
        <v>31.7</v>
      </c>
      <c r="K118" s="45">
        <f>Source!R37</f>
        <v>5.49</v>
      </c>
      <c r="L118" s="43"/>
      <c r="R118">
        <f>H118</f>
        <v>0.17</v>
      </c>
    </row>
    <row r="119" spans="1:12" ht="14.25">
      <c r="A119" s="37"/>
      <c r="B119" s="38"/>
      <c r="C119" s="38" t="s">
        <v>744</v>
      </c>
      <c r="D119" s="39"/>
      <c r="E119" s="10"/>
      <c r="F119" s="41">
        <f>Source!AL37</f>
        <v>28693.7</v>
      </c>
      <c r="G119" s="40">
        <f>Source!DD37</f>
      </c>
      <c r="H119" s="42">
        <f>ROUND(Source!AC37*Source!I37,2)</f>
        <v>1176.44</v>
      </c>
      <c r="I119" s="40"/>
      <c r="J119" s="40">
        <f>IF(Source!BC37&lt;&gt;0,Source!BC37,1)</f>
        <v>2.22</v>
      </c>
      <c r="K119" s="42">
        <f>Source!P37</f>
        <v>2611.7</v>
      </c>
      <c r="L119" s="43"/>
    </row>
    <row r="120" spans="1:12" ht="14.25">
      <c r="A120" s="37"/>
      <c r="B120" s="38"/>
      <c r="C120" s="38" t="s">
        <v>745</v>
      </c>
      <c r="D120" s="39" t="s">
        <v>746</v>
      </c>
      <c r="E120" s="10">
        <f>Source!BZ37</f>
        <v>105</v>
      </c>
      <c r="F120" s="46" t="str">
        <f>CONCATENATE(" )",Source!DL37,Source!FT37,"=",Source!FX37)</f>
        <v> )*0,9*0,7=66,15</v>
      </c>
      <c r="G120" s="19"/>
      <c r="H120" s="42">
        <f>SUM(S114:S123)</f>
        <v>31.88</v>
      </c>
      <c r="I120" s="47"/>
      <c r="J120" s="36">
        <f>Source!AT37</f>
        <v>66</v>
      </c>
      <c r="K120" s="42">
        <f>SUM(T114:T123)</f>
        <v>1008.43</v>
      </c>
      <c r="L120" s="43"/>
    </row>
    <row r="121" spans="1:12" ht="14.25">
      <c r="A121" s="37"/>
      <c r="B121" s="38"/>
      <c r="C121" s="38" t="s">
        <v>747</v>
      </c>
      <c r="D121" s="39" t="s">
        <v>746</v>
      </c>
      <c r="E121" s="10">
        <f>Source!CA37</f>
        <v>55</v>
      </c>
      <c r="F121" s="46" t="str">
        <f>CONCATENATE(" )",Source!DM37,Source!FU37,"=",Source!FY37)</f>
        <v> )*0,85*0,9=42,075</v>
      </c>
      <c r="G121" s="19"/>
      <c r="H121" s="42">
        <f>SUM(U114:U123)</f>
        <v>20.28</v>
      </c>
      <c r="I121" s="47"/>
      <c r="J121" s="36">
        <f>Source!AU37</f>
        <v>42</v>
      </c>
      <c r="K121" s="42">
        <f>SUM(V114:V123)</f>
        <v>641.73</v>
      </c>
      <c r="L121" s="43"/>
    </row>
    <row r="122" spans="1:12" ht="14.25">
      <c r="A122" s="37"/>
      <c r="B122" s="38"/>
      <c r="C122" s="38" t="s">
        <v>748</v>
      </c>
      <c r="D122" s="39" t="s">
        <v>749</v>
      </c>
      <c r="E122" s="10">
        <f>Source!AQ37</f>
        <v>108.36</v>
      </c>
      <c r="F122" s="41"/>
      <c r="G122" s="40" t="str">
        <f>Source!DI37</f>
        <v>)*1,15</v>
      </c>
      <c r="H122" s="42"/>
      <c r="I122" s="40"/>
      <c r="J122" s="40"/>
      <c r="K122" s="42"/>
      <c r="L122" s="48">
        <f>Source!U37</f>
        <v>5.109173999999999</v>
      </c>
    </row>
    <row r="123" spans="1:26" ht="39.75">
      <c r="A123" s="53" t="str">
        <f>Source!E38</f>
        <v>8,1</v>
      </c>
      <c r="B123" s="54" t="str">
        <f>Source!F38</f>
        <v>206-1338</v>
      </c>
      <c r="C123" s="54" t="s">
        <v>750</v>
      </c>
      <c r="D123" s="55" t="str">
        <f>Source!H38</f>
        <v>м</v>
      </c>
      <c r="E123" s="56">
        <f>Source!I38</f>
        <v>8.2</v>
      </c>
      <c r="F123" s="57">
        <f>Source!AK38</f>
        <v>6.36</v>
      </c>
      <c r="G123" s="58" t="s">
        <v>6</v>
      </c>
      <c r="H123" s="59">
        <f>ROUND(Source!AC38*Source!I38,2)+ROUND(Source!AD38*Source!I38,2)+ROUND(Source!AF38*Source!I38,2)</f>
        <v>52.15</v>
      </c>
      <c r="I123" s="60"/>
      <c r="J123" s="60">
        <f>IF(Source!BC38&lt;&gt;0,Source!BC38,1)</f>
        <v>4.96</v>
      </c>
      <c r="K123" s="59">
        <f>Source!O38</f>
        <v>258.67</v>
      </c>
      <c r="L123" s="61"/>
      <c r="S123">
        <f>ROUND((Source!FX38/100)*((ROUND(Source!AF38*Source!I38,2)+ROUND(Source!AE38*Source!I38,2))),2)</f>
        <v>0</v>
      </c>
      <c r="T123">
        <f>Source!X38</f>
        <v>0</v>
      </c>
      <c r="U123">
        <f>ROUND((Source!FY38/100)*((ROUND(Source!AF38*Source!I38,2)+ROUND(Source!AE38*Source!I38,2))),2)</f>
        <v>0</v>
      </c>
      <c r="V123">
        <f>Source!Y38</f>
        <v>0</v>
      </c>
      <c r="W123">
        <f>IF(Source!BI38&lt;=1,H123,0)</f>
        <v>52.15</v>
      </c>
      <c r="X123">
        <f>IF(Source!BI38=2,H123,0)</f>
        <v>0</v>
      </c>
      <c r="Y123">
        <f>IF(Source!BI38=3,H123,0)</f>
        <v>0</v>
      </c>
      <c r="Z123">
        <f>IF(Source!BI38=4,H123,0)</f>
        <v>0</v>
      </c>
    </row>
    <row r="124" spans="7:26" ht="15">
      <c r="G124" s="51">
        <f>H116+H117+H119+H120+H121+SUM(H123:H123)</f>
        <v>1336.9200000000003</v>
      </c>
      <c r="H124" s="51"/>
      <c r="J124" s="51">
        <f>K116+K117+K119+K120+K121+SUM(K123:K123)</f>
        <v>6124.799999999999</v>
      </c>
      <c r="K124" s="51"/>
      <c r="L124" s="52">
        <f>Source!U37</f>
        <v>5.109173999999999</v>
      </c>
      <c r="O124" s="50">
        <f>G124</f>
        <v>1336.9200000000003</v>
      </c>
      <c r="P124" s="50">
        <f>J124</f>
        <v>6124.799999999999</v>
      </c>
      <c r="Q124" s="50">
        <f>L124</f>
        <v>5.109173999999999</v>
      </c>
      <c r="W124">
        <f>IF(Source!BI37&lt;=1,H116+H117+H119+H120+H121,0)</f>
        <v>1284.7700000000002</v>
      </c>
      <c r="X124">
        <f>IF(Source!BI37=2,H116+H117+H119+H120+H121,0)</f>
        <v>0</v>
      </c>
      <c r="Y124">
        <f>IF(Source!BI37=3,H116+H117+H119+H120+H121,0)</f>
        <v>0</v>
      </c>
      <c r="Z124">
        <f>IF(Source!BI37=4,H116+H117+H119+H120+H121,0)</f>
        <v>0</v>
      </c>
    </row>
    <row r="125" spans="1:22" ht="28.5">
      <c r="A125" s="37" t="str">
        <f>Source!E39</f>
        <v>9</v>
      </c>
      <c r="B125" s="38" t="str">
        <f>Source!F39</f>
        <v>20-02-003-4</v>
      </c>
      <c r="C125" s="38" t="str">
        <f>Source!G39</f>
        <v>Установка вентрешеток , размер 252х252 мм</v>
      </c>
      <c r="D125" s="39" t="str">
        <f>Source!H39</f>
        <v>1 решетка</v>
      </c>
      <c r="E125" s="10">
        <f>Source!I39</f>
        <v>2</v>
      </c>
      <c r="F125" s="41">
        <f>IF(Source!AK39&lt;&gt;0,Source!AK39,Source!AL39+Source!AM39+Source!AO39)</f>
        <v>21.91</v>
      </c>
      <c r="G125" s="40"/>
      <c r="H125" s="42"/>
      <c r="I125" s="40" t="str">
        <f>Source!BO39</f>
        <v>20-02-003-4</v>
      </c>
      <c r="J125" s="40"/>
      <c r="K125" s="42"/>
      <c r="L125" s="43"/>
      <c r="S125">
        <f>ROUND((Source!FX39/100)*((ROUND(Source!AF39*Source!I39,2)+ROUND(Source!AE39*Source!I39,2))),2)</f>
        <v>19.46</v>
      </c>
      <c r="T125">
        <f>Source!X39</f>
        <v>619.51</v>
      </c>
      <c r="U125">
        <f>ROUND((Source!FY39/100)*((ROUND(Source!AF39*Source!I39,2)+ROUND(Source!AE39*Source!I39,2))),2)</f>
        <v>15.32</v>
      </c>
      <c r="V125">
        <f>Source!Y39</f>
        <v>481.84</v>
      </c>
    </row>
    <row r="126" spans="1:18" ht="14.25">
      <c r="A126" s="37"/>
      <c r="B126" s="38"/>
      <c r="C126" s="38" t="s">
        <v>742</v>
      </c>
      <c r="D126" s="39"/>
      <c r="E126" s="10"/>
      <c r="F126" s="41">
        <f>Source!AO39</f>
        <v>10.49</v>
      </c>
      <c r="G126" s="40" t="str">
        <f>Source!DG39</f>
        <v>)*1,15</v>
      </c>
      <c r="H126" s="42">
        <f>ROUND(Source!AF39*Source!I39,2)</f>
        <v>24.13</v>
      </c>
      <c r="I126" s="40"/>
      <c r="J126" s="40">
        <f>IF(Source!BA39&lt;&gt;0,Source!BA39,1)</f>
        <v>31.7</v>
      </c>
      <c r="K126" s="42">
        <f>Source!S39</f>
        <v>764.83</v>
      </c>
      <c r="L126" s="43"/>
      <c r="R126">
        <f>H126</f>
        <v>24.13</v>
      </c>
    </row>
    <row r="127" spans="1:12" ht="14.25">
      <c r="A127" s="37"/>
      <c r="B127" s="38"/>
      <c r="C127" s="38" t="s">
        <v>234</v>
      </c>
      <c r="D127" s="39"/>
      <c r="E127" s="10"/>
      <c r="F127" s="41">
        <f>Source!AM39</f>
        <v>2.37</v>
      </c>
      <c r="G127" s="40" t="str">
        <f>Source!DE39</f>
        <v>)*1,25</v>
      </c>
      <c r="H127" s="42">
        <f>ROUND(Source!AD39*Source!I39,2)</f>
        <v>5.93</v>
      </c>
      <c r="I127" s="40"/>
      <c r="J127" s="40">
        <f>IF(Source!BB39&lt;&gt;0,Source!BB39,1)</f>
        <v>7.72</v>
      </c>
      <c r="K127" s="42">
        <f>Source!Q39</f>
        <v>45.74</v>
      </c>
      <c r="L127" s="43"/>
    </row>
    <row r="128" spans="1:12" ht="14.25">
      <c r="A128" s="37"/>
      <c r="B128" s="38"/>
      <c r="C128" s="38" t="s">
        <v>744</v>
      </c>
      <c r="D128" s="39"/>
      <c r="E128" s="10"/>
      <c r="F128" s="41">
        <f>Source!AL39</f>
        <v>9.05</v>
      </c>
      <c r="G128" s="40">
        <f>Source!DD39</f>
      </c>
      <c r="H128" s="42">
        <f>ROUND(Source!AC39*Source!I39,2)</f>
        <v>18.1</v>
      </c>
      <c r="I128" s="40"/>
      <c r="J128" s="40">
        <f>IF(Source!BC39&lt;&gt;0,Source!BC39,1)</f>
        <v>15.71</v>
      </c>
      <c r="K128" s="42">
        <f>Source!P39</f>
        <v>284.35</v>
      </c>
      <c r="L128" s="43"/>
    </row>
    <row r="129" spans="1:12" ht="14.25">
      <c r="A129" s="37"/>
      <c r="B129" s="38"/>
      <c r="C129" s="38" t="s">
        <v>745</v>
      </c>
      <c r="D129" s="39" t="s">
        <v>746</v>
      </c>
      <c r="E129" s="10">
        <f>Source!BZ39</f>
        <v>128</v>
      </c>
      <c r="F129" s="46" t="str">
        <f>CONCATENATE(" )",Source!DL39,Source!FT39,"=",Source!FX39)</f>
        <v> )*0,9*0,7=80,64</v>
      </c>
      <c r="G129" s="19"/>
      <c r="H129" s="42">
        <f>SUM(S125:S131)</f>
        <v>19.46</v>
      </c>
      <c r="I129" s="47"/>
      <c r="J129" s="36">
        <f>Source!AT39</f>
        <v>81</v>
      </c>
      <c r="K129" s="42">
        <f>SUM(T125:T131)</f>
        <v>619.51</v>
      </c>
      <c r="L129" s="43"/>
    </row>
    <row r="130" spans="1:12" ht="14.25">
      <c r="A130" s="37"/>
      <c r="B130" s="38"/>
      <c r="C130" s="38" t="s">
        <v>747</v>
      </c>
      <c r="D130" s="39" t="s">
        <v>746</v>
      </c>
      <c r="E130" s="10">
        <f>Source!CA39</f>
        <v>83</v>
      </c>
      <c r="F130" s="46" t="str">
        <f>CONCATENATE(" )",Source!DM39,Source!FU39,"=",Source!FY39)</f>
        <v> )*0,85*0,9=63,495</v>
      </c>
      <c r="G130" s="19"/>
      <c r="H130" s="42">
        <f>SUM(U125:U131)</f>
        <v>15.32</v>
      </c>
      <c r="I130" s="47"/>
      <c r="J130" s="36">
        <f>Source!AU39</f>
        <v>63</v>
      </c>
      <c r="K130" s="42">
        <f>SUM(V125:V131)</f>
        <v>481.84</v>
      </c>
      <c r="L130" s="43"/>
    </row>
    <row r="131" spans="1:12" ht="14.25">
      <c r="A131" s="53"/>
      <c r="B131" s="54"/>
      <c r="C131" s="54" t="s">
        <v>748</v>
      </c>
      <c r="D131" s="55" t="s">
        <v>749</v>
      </c>
      <c r="E131" s="56">
        <f>Source!AQ39</f>
        <v>1.17</v>
      </c>
      <c r="F131" s="57"/>
      <c r="G131" s="60" t="str">
        <f>Source!DI39</f>
        <v>)*1,15</v>
      </c>
      <c r="H131" s="59"/>
      <c r="I131" s="60"/>
      <c r="J131" s="60"/>
      <c r="K131" s="59"/>
      <c r="L131" s="62">
        <f>Source!U39</f>
        <v>2.691</v>
      </c>
    </row>
    <row r="132" spans="7:26" ht="15">
      <c r="G132" s="51">
        <f>H126+H127+H128+H129+H130</f>
        <v>82.94</v>
      </c>
      <c r="H132" s="51"/>
      <c r="J132" s="51">
        <f>K126+K127+K128+K129+K130</f>
        <v>2196.27</v>
      </c>
      <c r="K132" s="51"/>
      <c r="L132" s="52">
        <f>Source!U39</f>
        <v>2.691</v>
      </c>
      <c r="O132" s="50">
        <f>G132</f>
        <v>82.94</v>
      </c>
      <c r="P132" s="50">
        <f>J132</f>
        <v>2196.27</v>
      </c>
      <c r="Q132" s="50">
        <f>L132</f>
        <v>2.691</v>
      </c>
      <c r="W132">
        <f>IF(Source!BI39&lt;=1,H126+H127+H128+H129+H130,0)</f>
        <v>82.94</v>
      </c>
      <c r="X132">
        <f>IF(Source!BI39=2,H126+H127+H128+H129+H130,0)</f>
        <v>0</v>
      </c>
      <c r="Y132">
        <f>IF(Source!BI39=3,H126+H127+H128+H129+H130,0)</f>
        <v>0</v>
      </c>
      <c r="Z132">
        <f>IF(Source!BI39=4,H126+H127+H128+H129+H130,0)</f>
        <v>0</v>
      </c>
    </row>
    <row r="133" spans="1:22" ht="28.5">
      <c r="A133" s="37" t="str">
        <f>Source!E40</f>
        <v>10</v>
      </c>
      <c r="B133" s="38" t="str">
        <f>Source!F40</f>
        <v>17-01-001-20</v>
      </c>
      <c r="C133" s="38" t="str">
        <f>Source!G40</f>
        <v>Установка кабин душевых со стальными поддонами</v>
      </c>
      <c r="D133" s="39" t="str">
        <f>Source!H40</f>
        <v>10 компл.</v>
      </c>
      <c r="E133" s="10">
        <f>Source!I40</f>
        <v>0.1</v>
      </c>
      <c r="F133" s="41">
        <f>IF(Source!AK40&lt;&gt;0,Source!AK40,Source!AL40+Source!AM40+Source!AO40)</f>
        <v>57254.75</v>
      </c>
      <c r="G133" s="40"/>
      <c r="H133" s="42"/>
      <c r="I133" s="40" t="str">
        <f>Source!BO40</f>
        <v>17-01-001-20</v>
      </c>
      <c r="J133" s="40"/>
      <c r="K133" s="42"/>
      <c r="L133" s="43"/>
      <c r="S133">
        <f>ROUND((Source!FX40/100)*((ROUND(Source!AF40*Source!I40,2)+ROUND(Source!AE40*Source!I40,2))),2)</f>
        <v>55.39</v>
      </c>
      <c r="T133">
        <f>Source!X40</f>
        <v>1763.79</v>
      </c>
      <c r="U133">
        <f>ROUND((Source!FY40/100)*((ROUND(Source!AF40*Source!I40,2)+ROUND(Source!AE40*Source!I40,2))),2)</f>
        <v>43.61</v>
      </c>
      <c r="V133">
        <f>Source!Y40</f>
        <v>1371.84</v>
      </c>
    </row>
    <row r="134" ht="12.75">
      <c r="C134" s="44" t="str">
        <f>"Объем: "&amp;Source!I40&amp;"=1/"&amp;"10"</f>
        <v>Объем: 0,1=1/10</v>
      </c>
    </row>
    <row r="135" spans="1:18" ht="14.25">
      <c r="A135" s="37"/>
      <c r="B135" s="38"/>
      <c r="C135" s="38" t="s">
        <v>742</v>
      </c>
      <c r="D135" s="39"/>
      <c r="E135" s="10"/>
      <c r="F135" s="41">
        <f>Source!AO40</f>
        <v>588.36</v>
      </c>
      <c r="G135" s="40" t="str">
        <f>Source!DG40</f>
        <v>)*1,15</v>
      </c>
      <c r="H135" s="42">
        <f>ROUND(Source!AF40*Source!I40,2)</f>
        <v>67.66</v>
      </c>
      <c r="I135" s="40"/>
      <c r="J135" s="40">
        <f>IF(Source!BA40&lt;&gt;0,Source!BA40,1)</f>
        <v>31.7</v>
      </c>
      <c r="K135" s="42">
        <f>Source!S40</f>
        <v>2144.87</v>
      </c>
      <c r="L135" s="43"/>
      <c r="R135">
        <f>H135</f>
        <v>67.66</v>
      </c>
    </row>
    <row r="136" spans="1:12" ht="14.25">
      <c r="A136" s="37"/>
      <c r="B136" s="38"/>
      <c r="C136" s="38" t="s">
        <v>234</v>
      </c>
      <c r="D136" s="39"/>
      <c r="E136" s="10"/>
      <c r="F136" s="41">
        <f>Source!AM40</f>
        <v>84.88</v>
      </c>
      <c r="G136" s="40" t="str">
        <f>Source!DE40</f>
        <v>)*1,25</v>
      </c>
      <c r="H136" s="42">
        <f>ROUND(Source!AD40*Source!I40,2)</f>
        <v>10.61</v>
      </c>
      <c r="I136" s="40"/>
      <c r="J136" s="40">
        <f>IF(Source!BB40&lt;&gt;0,Source!BB40,1)</f>
        <v>10.44</v>
      </c>
      <c r="K136" s="42">
        <f>Source!Q40</f>
        <v>110.77</v>
      </c>
      <c r="L136" s="43"/>
    </row>
    <row r="137" spans="1:18" ht="14.25">
      <c r="A137" s="37"/>
      <c r="B137" s="38"/>
      <c r="C137" s="38" t="s">
        <v>743</v>
      </c>
      <c r="D137" s="39"/>
      <c r="E137" s="10"/>
      <c r="F137" s="41">
        <f>Source!AN40</f>
        <v>8.24</v>
      </c>
      <c r="G137" s="40" t="str">
        <f>Source!DF40</f>
        <v>)*1,25</v>
      </c>
      <c r="H137" s="45">
        <f>ROUND(Source!AE40*Source!I40,2)</f>
        <v>1.03</v>
      </c>
      <c r="I137" s="40"/>
      <c r="J137" s="40">
        <f>IF(Source!BS40&lt;&gt;0,Source!BS40,1)</f>
        <v>31.7</v>
      </c>
      <c r="K137" s="45">
        <f>Source!R40</f>
        <v>32.65</v>
      </c>
      <c r="L137" s="43"/>
      <c r="R137">
        <f>H137</f>
        <v>1.03</v>
      </c>
    </row>
    <row r="138" spans="1:12" ht="14.25">
      <c r="A138" s="37"/>
      <c r="B138" s="38"/>
      <c r="C138" s="38" t="s">
        <v>744</v>
      </c>
      <c r="D138" s="39"/>
      <c r="E138" s="10"/>
      <c r="F138" s="41">
        <f>Source!AL40</f>
        <v>56581.51</v>
      </c>
      <c r="G138" s="40">
        <f>Source!DD40</f>
      </c>
      <c r="H138" s="42">
        <f>ROUND(Source!AC40*Source!I40,2)</f>
        <v>5658.15</v>
      </c>
      <c r="I138" s="40"/>
      <c r="J138" s="40">
        <f>IF(Source!BC40&lt;&gt;0,Source!BC40,1)</f>
        <v>1.27</v>
      </c>
      <c r="K138" s="42">
        <f>Source!P40</f>
        <v>7185.85</v>
      </c>
      <c r="L138" s="43"/>
    </row>
    <row r="139" spans="1:12" ht="14.25">
      <c r="A139" s="37"/>
      <c r="B139" s="38"/>
      <c r="C139" s="38" t="s">
        <v>745</v>
      </c>
      <c r="D139" s="39" t="s">
        <v>746</v>
      </c>
      <c r="E139" s="10">
        <f>Source!BZ40</f>
        <v>128</v>
      </c>
      <c r="F139" s="46" t="str">
        <f>CONCATENATE(" )",Source!DL40,Source!FT40,"=",Source!FX40)</f>
        <v> )*0,9*0,7=80,64</v>
      </c>
      <c r="G139" s="19"/>
      <c r="H139" s="42">
        <f>SUM(S133:S143)</f>
        <v>55.39</v>
      </c>
      <c r="I139" s="47"/>
      <c r="J139" s="36">
        <f>Source!AT40</f>
        <v>81</v>
      </c>
      <c r="K139" s="42">
        <f>SUM(T133:T143)</f>
        <v>1763.79</v>
      </c>
      <c r="L139" s="43"/>
    </row>
    <row r="140" spans="1:12" ht="14.25">
      <c r="A140" s="37"/>
      <c r="B140" s="38"/>
      <c r="C140" s="38" t="s">
        <v>747</v>
      </c>
      <c r="D140" s="39" t="s">
        <v>746</v>
      </c>
      <c r="E140" s="10">
        <f>Source!CA40</f>
        <v>83</v>
      </c>
      <c r="F140" s="46" t="str">
        <f>CONCATENATE(" )",Source!DM40,Source!FU40,"=",Source!FY40)</f>
        <v> )*0,85*0,9=63,495</v>
      </c>
      <c r="G140" s="19"/>
      <c r="H140" s="42">
        <f>SUM(U133:U143)</f>
        <v>43.61</v>
      </c>
      <c r="I140" s="47"/>
      <c r="J140" s="36">
        <f>Source!AU40</f>
        <v>63</v>
      </c>
      <c r="K140" s="42">
        <f>SUM(V133:V143)</f>
        <v>1371.84</v>
      </c>
      <c r="L140" s="43"/>
    </row>
    <row r="141" spans="1:12" ht="14.25">
      <c r="A141" s="37"/>
      <c r="B141" s="38"/>
      <c r="C141" s="38" t="s">
        <v>748</v>
      </c>
      <c r="D141" s="39" t="s">
        <v>749</v>
      </c>
      <c r="E141" s="10">
        <f>Source!AQ40</f>
        <v>61.16</v>
      </c>
      <c r="F141" s="41"/>
      <c r="G141" s="40" t="str">
        <f>Source!DI40</f>
        <v>)*1,15</v>
      </c>
      <c r="H141" s="42"/>
      <c r="I141" s="40"/>
      <c r="J141" s="40"/>
      <c r="K141" s="42"/>
      <c r="L141" s="48">
        <f>Source!U40</f>
        <v>7.033399999999999</v>
      </c>
    </row>
    <row r="142" spans="1:26" ht="28.5">
      <c r="A142" s="37" t="str">
        <f>Source!E41</f>
        <v>10,1</v>
      </c>
      <c r="B142" s="38" t="str">
        <f>Source!F41</f>
        <v>301-1532</v>
      </c>
      <c r="C142" s="38" t="str">
        <f>Source!G41</f>
        <v>Кабина душевая 800х800х1975 мм со стальным поддоном</v>
      </c>
      <c r="D142" s="39" t="str">
        <f>Source!H41</f>
        <v>компл.</v>
      </c>
      <c r="E142" s="10">
        <f>Source!I41</f>
        <v>-1</v>
      </c>
      <c r="F142" s="41">
        <f>Source!AK41</f>
        <v>5649.99</v>
      </c>
      <c r="G142" s="49" t="s">
        <v>6</v>
      </c>
      <c r="H142" s="42">
        <f>ROUND(Source!AC41*Source!I41,2)+ROUND(Source!AD41*Source!I41,2)+ROUND(Source!AF41*Source!I41,2)</f>
        <v>-5649.99</v>
      </c>
      <c r="I142" s="40"/>
      <c r="J142" s="40">
        <f>IF(Source!BC41&lt;&gt;0,Source!BC41,1)</f>
        <v>1.27</v>
      </c>
      <c r="K142" s="42">
        <f>Source!O41</f>
        <v>-7175.49</v>
      </c>
      <c r="L142" s="43"/>
      <c r="S142">
        <f>ROUND((Source!FX41/100)*((ROUND(Source!AF41*Source!I41,2)+ROUND(Source!AE41*Source!I41,2))),2)</f>
        <v>0</v>
      </c>
      <c r="T142">
        <f>Source!X41</f>
        <v>0</v>
      </c>
      <c r="U142">
        <f>ROUND((Source!FY41/100)*((ROUND(Source!AF41*Source!I41,2)+ROUND(Source!AE41*Source!I41,2))),2)</f>
        <v>0</v>
      </c>
      <c r="V142">
        <f>Source!Y41</f>
        <v>0</v>
      </c>
      <c r="W142">
        <f>IF(Source!BI41&lt;=1,H142,0)</f>
        <v>-5649.99</v>
      </c>
      <c r="X142">
        <f>IF(Source!BI41=2,H142,0)</f>
        <v>0</v>
      </c>
      <c r="Y142">
        <f>IF(Source!BI41=3,H142,0)</f>
        <v>0</v>
      </c>
      <c r="Z142">
        <f>IF(Source!BI41=4,H142,0)</f>
        <v>0</v>
      </c>
    </row>
    <row r="143" spans="1:26" ht="54">
      <c r="A143" s="53" t="str">
        <f>Source!E42</f>
        <v>10,2</v>
      </c>
      <c r="B143" s="54" t="str">
        <f>Source!F42</f>
        <v>301-1533</v>
      </c>
      <c r="C143" s="54" t="s">
        <v>751</v>
      </c>
      <c r="D143" s="55" t="str">
        <f>Source!H42</f>
        <v>компл.</v>
      </c>
      <c r="E143" s="56">
        <f>Source!I42</f>
        <v>1</v>
      </c>
      <c r="F143" s="57">
        <f>Source!AK42</f>
        <v>7930</v>
      </c>
      <c r="G143" s="58" t="s">
        <v>6</v>
      </c>
      <c r="H143" s="59">
        <f>ROUND(Source!AC42*Source!I42,2)+ROUND(Source!AD42*Source!I42,2)+ROUND(Source!AF42*Source!I42,2)</f>
        <v>7930</v>
      </c>
      <c r="I143" s="60"/>
      <c r="J143" s="60">
        <f>IF(Source!BC42&lt;&gt;0,Source!BC42,1)</f>
        <v>1.78</v>
      </c>
      <c r="K143" s="59">
        <f>Source!O42</f>
        <v>14115.4</v>
      </c>
      <c r="L143" s="61"/>
      <c r="S143">
        <f>ROUND((Source!FX42/100)*((ROUND(Source!AF42*Source!I42,2)+ROUND(Source!AE42*Source!I42,2))),2)</f>
        <v>0</v>
      </c>
      <c r="T143">
        <f>Source!X42</f>
        <v>0</v>
      </c>
      <c r="U143">
        <f>ROUND((Source!FY42/100)*((ROUND(Source!AF42*Source!I42,2)+ROUND(Source!AE42*Source!I42,2))),2)</f>
        <v>0</v>
      </c>
      <c r="V143">
        <f>Source!Y42</f>
        <v>0</v>
      </c>
      <c r="W143">
        <f>IF(Source!BI42&lt;=1,H143,0)</f>
        <v>7930</v>
      </c>
      <c r="X143">
        <f>IF(Source!BI42=2,H143,0)</f>
        <v>0</v>
      </c>
      <c r="Y143">
        <f>IF(Source!BI42=3,H143,0)</f>
        <v>0</v>
      </c>
      <c r="Z143">
        <f>IF(Source!BI42=4,H143,0)</f>
        <v>0</v>
      </c>
    </row>
    <row r="144" spans="7:26" ht="15">
      <c r="G144" s="51">
        <f>H135+H136+H138+H139+H140+SUM(H142:H143)</f>
        <v>8115.43</v>
      </c>
      <c r="H144" s="51"/>
      <c r="J144" s="51">
        <f>K135+K136+K138+K139+K140+SUM(K142:K143)</f>
        <v>19517.03</v>
      </c>
      <c r="K144" s="51"/>
      <c r="L144" s="52">
        <f>Source!U40</f>
        <v>7.033399999999999</v>
      </c>
      <c r="O144" s="50">
        <f>G144</f>
        <v>8115.43</v>
      </c>
      <c r="P144" s="50">
        <f>J144</f>
        <v>19517.03</v>
      </c>
      <c r="Q144" s="50">
        <f>L144</f>
        <v>7.033399999999999</v>
      </c>
      <c r="W144">
        <f>IF(Source!BI40&lt;=1,H135+H136+H138+H139+H140,0)</f>
        <v>5835.42</v>
      </c>
      <c r="X144">
        <f>IF(Source!BI40=2,H135+H136+H138+H139+H140,0)</f>
        <v>0</v>
      </c>
      <c r="Y144">
        <f>IF(Source!BI40=3,H135+H136+H138+H139+H140,0)</f>
        <v>0</v>
      </c>
      <c r="Z144">
        <f>IF(Source!BI40=4,H135+H136+H138+H139+H140,0)</f>
        <v>0</v>
      </c>
    </row>
    <row r="145" spans="1:22" ht="28.5">
      <c r="A145" s="37" t="str">
        <f>Source!E43</f>
        <v>11</v>
      </c>
      <c r="B145" s="38" t="str">
        <f>Source!F43</f>
        <v>17-01-003-1</v>
      </c>
      <c r="C145" s="38" t="str">
        <f>Source!G43</f>
        <v>Установка унитазов с бачком непосредственно присоединенным</v>
      </c>
      <c r="D145" s="39" t="str">
        <f>Source!H43</f>
        <v>10 компл.</v>
      </c>
      <c r="E145" s="10">
        <f>Source!I43</f>
        <v>0.1</v>
      </c>
      <c r="F145" s="41">
        <f>IF(Source!AK43&lt;&gt;0,Source!AK43,Source!AL43+Source!AM43+Source!AO43)</f>
        <v>3708</v>
      </c>
      <c r="G145" s="40"/>
      <c r="H145" s="42"/>
      <c r="I145" s="40" t="str">
        <f>Source!BO43</f>
        <v>17-01-003-1</v>
      </c>
      <c r="J145" s="40"/>
      <c r="K145" s="42"/>
      <c r="L145" s="43"/>
      <c r="S145">
        <f>ROUND((Source!FX43/100)*((ROUND(Source!AF43*Source!I43,2)+ROUND(Source!AE43*Source!I43,2))),2)</f>
        <v>22.17</v>
      </c>
      <c r="T145">
        <f>Source!X43</f>
        <v>705.81</v>
      </c>
      <c r="U145">
        <f>ROUND((Source!FY43/100)*((ROUND(Source!AF43*Source!I43,2)+ROUND(Source!AE43*Source!I43,2))),2)</f>
        <v>17.45</v>
      </c>
      <c r="V145">
        <f>Source!Y43</f>
        <v>548.96</v>
      </c>
    </row>
    <row r="146" ht="12.75">
      <c r="C146" s="44" t="str">
        <f>"Объем: "&amp;Source!I43&amp;"=1/"&amp;"10"</f>
        <v>Объем: 0,1=1/10</v>
      </c>
    </row>
    <row r="147" spans="1:18" ht="14.25">
      <c r="A147" s="37"/>
      <c r="B147" s="38"/>
      <c r="C147" s="38" t="s">
        <v>742</v>
      </c>
      <c r="D147" s="39"/>
      <c r="E147" s="10"/>
      <c r="F147" s="41">
        <f>Source!AO43</f>
        <v>234.33</v>
      </c>
      <c r="G147" s="40" t="str">
        <f>Source!DG43</f>
        <v>)*1,15</v>
      </c>
      <c r="H147" s="42">
        <f>ROUND(Source!AF43*Source!I43,2)</f>
        <v>26.95</v>
      </c>
      <c r="I147" s="40"/>
      <c r="J147" s="40">
        <f>IF(Source!BA43&lt;&gt;0,Source!BA43,1)</f>
        <v>31.7</v>
      </c>
      <c r="K147" s="42">
        <f>Source!S43</f>
        <v>854.25</v>
      </c>
      <c r="L147" s="43"/>
      <c r="R147">
        <f>H147</f>
        <v>26.95</v>
      </c>
    </row>
    <row r="148" spans="1:12" ht="14.25">
      <c r="A148" s="37"/>
      <c r="B148" s="38"/>
      <c r="C148" s="38" t="s">
        <v>234</v>
      </c>
      <c r="D148" s="39"/>
      <c r="E148" s="10"/>
      <c r="F148" s="41">
        <f>Source!AM43</f>
        <v>44.39</v>
      </c>
      <c r="G148" s="40" t="str">
        <f>Source!DE43</f>
        <v>)*1,25</v>
      </c>
      <c r="H148" s="42">
        <f>ROUND(Source!AD43*Source!I43,2)</f>
        <v>5.55</v>
      </c>
      <c r="I148" s="40"/>
      <c r="J148" s="40">
        <f>IF(Source!BB43&lt;&gt;0,Source!BB43,1)</f>
        <v>11.23</v>
      </c>
      <c r="K148" s="42">
        <f>Source!Q43</f>
        <v>62.31</v>
      </c>
      <c r="L148" s="43"/>
    </row>
    <row r="149" spans="1:18" ht="14.25">
      <c r="A149" s="37"/>
      <c r="B149" s="38"/>
      <c r="C149" s="38" t="s">
        <v>743</v>
      </c>
      <c r="D149" s="39"/>
      <c r="E149" s="10"/>
      <c r="F149" s="41">
        <f>Source!AN43</f>
        <v>4.32</v>
      </c>
      <c r="G149" s="40" t="str">
        <f>Source!DF43</f>
        <v>)*1,25</v>
      </c>
      <c r="H149" s="45">
        <f>ROUND(Source!AE43*Source!I43,2)</f>
        <v>0.54</v>
      </c>
      <c r="I149" s="40"/>
      <c r="J149" s="40">
        <f>IF(Source!BS43&lt;&gt;0,Source!BS43,1)</f>
        <v>31.7</v>
      </c>
      <c r="K149" s="45">
        <f>Source!R43</f>
        <v>17.12</v>
      </c>
      <c r="L149" s="43"/>
      <c r="R149">
        <f>H149</f>
        <v>0.54</v>
      </c>
    </row>
    <row r="150" spans="1:12" ht="14.25">
      <c r="A150" s="37"/>
      <c r="B150" s="38"/>
      <c r="C150" s="38" t="s">
        <v>744</v>
      </c>
      <c r="D150" s="39"/>
      <c r="E150" s="10"/>
      <c r="F150" s="41">
        <f>Source!AL43</f>
        <v>3429.28</v>
      </c>
      <c r="G150" s="40">
        <f>Source!DD43</f>
      </c>
      <c r="H150" s="42">
        <f>ROUND(Source!AC43*Source!I43,2)</f>
        <v>342.93</v>
      </c>
      <c r="I150" s="40"/>
      <c r="J150" s="40">
        <f>IF(Source!BC43&lt;&gt;0,Source!BC43,1)</f>
        <v>10.25</v>
      </c>
      <c r="K150" s="42">
        <f>Source!P43</f>
        <v>3515.01</v>
      </c>
      <c r="L150" s="43"/>
    </row>
    <row r="151" spans="1:12" ht="14.25">
      <c r="A151" s="37"/>
      <c r="B151" s="38"/>
      <c r="C151" s="38" t="s">
        <v>745</v>
      </c>
      <c r="D151" s="39" t="s">
        <v>746</v>
      </c>
      <c r="E151" s="10">
        <f>Source!BZ43</f>
        <v>128</v>
      </c>
      <c r="F151" s="46" t="str">
        <f>CONCATENATE(" )",Source!DL43,Source!FT43,"=",Source!FX43)</f>
        <v> )*0,9*0,7=80,64</v>
      </c>
      <c r="G151" s="19"/>
      <c r="H151" s="42">
        <f>SUM(S145:S153)</f>
        <v>22.17</v>
      </c>
      <c r="I151" s="47"/>
      <c r="J151" s="36">
        <f>Source!AT43</f>
        <v>81</v>
      </c>
      <c r="K151" s="42">
        <f>SUM(T145:T153)</f>
        <v>705.81</v>
      </c>
      <c r="L151" s="43"/>
    </row>
    <row r="152" spans="1:12" ht="14.25">
      <c r="A152" s="37"/>
      <c r="B152" s="38"/>
      <c r="C152" s="38" t="s">
        <v>747</v>
      </c>
      <c r="D152" s="39" t="s">
        <v>746</v>
      </c>
      <c r="E152" s="10">
        <f>Source!CA43</f>
        <v>83</v>
      </c>
      <c r="F152" s="46" t="str">
        <f>CONCATENATE(" )",Source!DM43,Source!FU43,"=",Source!FY43)</f>
        <v> )*0,85*0,9=63,495</v>
      </c>
      <c r="G152" s="19"/>
      <c r="H152" s="42">
        <f>SUM(U145:U153)</f>
        <v>17.45</v>
      </c>
      <c r="I152" s="47"/>
      <c r="J152" s="36">
        <f>Source!AU43</f>
        <v>63</v>
      </c>
      <c r="K152" s="42">
        <f>SUM(V145:V153)</f>
        <v>548.96</v>
      </c>
      <c r="L152" s="43"/>
    </row>
    <row r="153" spans="1:12" ht="14.25">
      <c r="A153" s="53"/>
      <c r="B153" s="54"/>
      <c r="C153" s="54" t="s">
        <v>748</v>
      </c>
      <c r="D153" s="55" t="s">
        <v>749</v>
      </c>
      <c r="E153" s="56">
        <f>Source!AQ43</f>
        <v>24.64</v>
      </c>
      <c r="F153" s="57"/>
      <c r="G153" s="60" t="str">
        <f>Source!DI43</f>
        <v>)*1,15</v>
      </c>
      <c r="H153" s="59"/>
      <c r="I153" s="60"/>
      <c r="J153" s="60"/>
      <c r="K153" s="59"/>
      <c r="L153" s="62">
        <f>Source!U43</f>
        <v>2.8336</v>
      </c>
    </row>
    <row r="154" spans="7:26" ht="15">
      <c r="G154" s="51">
        <f>H147+H148+H150+H151+H152</f>
        <v>415.05</v>
      </c>
      <c r="H154" s="51"/>
      <c r="J154" s="51">
        <f>K147+K148+K150+K151+K152</f>
        <v>5686.339999999999</v>
      </c>
      <c r="K154" s="51"/>
      <c r="L154" s="52">
        <f>Source!U43</f>
        <v>2.8336</v>
      </c>
      <c r="O154" s="50">
        <f>G154</f>
        <v>415.05</v>
      </c>
      <c r="P154" s="50">
        <f>J154</f>
        <v>5686.339999999999</v>
      </c>
      <c r="Q154" s="50">
        <f>L154</f>
        <v>2.8336</v>
      </c>
      <c r="W154">
        <f>IF(Source!BI43&lt;=1,H147+H148+H150+H151+H152,0)</f>
        <v>415.05</v>
      </c>
      <c r="X154">
        <f>IF(Source!BI43=2,H147+H148+H150+H151+H152,0)</f>
        <v>0</v>
      </c>
      <c r="Y154">
        <f>IF(Source!BI43=3,H147+H148+H150+H151+H152,0)</f>
        <v>0</v>
      </c>
      <c r="Z154">
        <f>IF(Source!BI43=4,H147+H148+H150+H151+H152,0)</f>
        <v>0</v>
      </c>
    </row>
    <row r="155" spans="1:22" ht="28.5">
      <c r="A155" s="37" t="str">
        <f>Source!E44</f>
        <v>12</v>
      </c>
      <c r="B155" s="38" t="str">
        <f>Source!F44</f>
        <v>17-01-001-14</v>
      </c>
      <c r="C155" s="38" t="str">
        <f>Source!G44</f>
        <v>Установка умывальников одиночных с подводкой холодной и горячей воды</v>
      </c>
      <c r="D155" s="39" t="str">
        <f>Source!H44</f>
        <v>10 компл.</v>
      </c>
      <c r="E155" s="10">
        <f>Source!I44</f>
        <v>0.2</v>
      </c>
      <c r="F155" s="41">
        <f>IF(Source!AK44&lt;&gt;0,Source!AK44,Source!AL44+Source!AM44+Source!AO44)</f>
        <v>1609.25</v>
      </c>
      <c r="G155" s="40"/>
      <c r="H155" s="42"/>
      <c r="I155" s="40" t="str">
        <f>Source!BO44</f>
        <v>17-01-001-14</v>
      </c>
      <c r="J155" s="40"/>
      <c r="K155" s="42"/>
      <c r="L155" s="43"/>
      <c r="S155">
        <f>ROUND((Source!FX44/100)*((ROUND(Source!AF44*Source!I44,2)+ROUND(Source!AE44*Source!I44,2))),2)</f>
        <v>38.93</v>
      </c>
      <c r="T155">
        <f>Source!X44</f>
        <v>1239.68</v>
      </c>
      <c r="U155">
        <f>ROUND((Source!FY44/100)*((ROUND(Source!AF44*Source!I44,2)+ROUND(Source!AE44*Source!I44,2))),2)</f>
        <v>30.66</v>
      </c>
      <c r="V155">
        <f>Source!Y44</f>
        <v>964.2</v>
      </c>
    </row>
    <row r="156" ht="12.75">
      <c r="C156" s="44" t="str">
        <f>"Объем: "&amp;Source!I44&amp;"=2/"&amp;"10"</f>
        <v>Объем: 0,2=2/10</v>
      </c>
    </row>
    <row r="157" spans="1:18" ht="14.25">
      <c r="A157" s="37"/>
      <c r="B157" s="38"/>
      <c r="C157" s="38" t="s">
        <v>742</v>
      </c>
      <c r="D157" s="39"/>
      <c r="E157" s="10"/>
      <c r="F157" s="41">
        <f>Source!AO44</f>
        <v>208.27</v>
      </c>
      <c r="G157" s="40" t="str">
        <f>Source!DG44</f>
        <v>)*1,15</v>
      </c>
      <c r="H157" s="42">
        <f>ROUND(Source!AF44*Source!I44,2)</f>
        <v>47.9</v>
      </c>
      <c r="I157" s="40"/>
      <c r="J157" s="40">
        <f>IF(Source!BA44&lt;&gt;0,Source!BA44,1)</f>
        <v>31.7</v>
      </c>
      <c r="K157" s="42">
        <f>Source!S44</f>
        <v>1518.5</v>
      </c>
      <c r="L157" s="43"/>
      <c r="R157">
        <f>H157</f>
        <v>47.9</v>
      </c>
    </row>
    <row r="158" spans="1:12" ht="14.25">
      <c r="A158" s="37"/>
      <c r="B158" s="38"/>
      <c r="C158" s="38" t="s">
        <v>234</v>
      </c>
      <c r="D158" s="39"/>
      <c r="E158" s="10"/>
      <c r="F158" s="41">
        <f>Source!AM44</f>
        <v>23.63</v>
      </c>
      <c r="G158" s="40" t="str">
        <f>Source!DE44</f>
        <v>)*1,25</v>
      </c>
      <c r="H158" s="42">
        <f>ROUND(Source!AD44*Source!I44,2)</f>
        <v>5.91</v>
      </c>
      <c r="I158" s="40"/>
      <c r="J158" s="40">
        <f>IF(Source!BB44&lt;&gt;0,Source!BB44,1)</f>
        <v>10.97</v>
      </c>
      <c r="K158" s="42">
        <f>Source!Q44</f>
        <v>64.81</v>
      </c>
      <c r="L158" s="43"/>
    </row>
    <row r="159" spans="1:18" ht="14.25">
      <c r="A159" s="37"/>
      <c r="B159" s="38"/>
      <c r="C159" s="38" t="s">
        <v>743</v>
      </c>
      <c r="D159" s="39"/>
      <c r="E159" s="10"/>
      <c r="F159" s="41">
        <f>Source!AN44</f>
        <v>1.51</v>
      </c>
      <c r="G159" s="40" t="str">
        <f>Source!DF44</f>
        <v>)*1,25</v>
      </c>
      <c r="H159" s="45">
        <f>ROUND(Source!AE44*Source!I44,2)</f>
        <v>0.38</v>
      </c>
      <c r="I159" s="40"/>
      <c r="J159" s="40">
        <f>IF(Source!BS44&lt;&gt;0,Source!BS44,1)</f>
        <v>31.7</v>
      </c>
      <c r="K159" s="45">
        <f>Source!R44</f>
        <v>11.97</v>
      </c>
      <c r="L159" s="43"/>
      <c r="R159">
        <f>H159</f>
        <v>0.38</v>
      </c>
    </row>
    <row r="160" spans="1:12" ht="14.25">
      <c r="A160" s="37"/>
      <c r="B160" s="38"/>
      <c r="C160" s="38" t="s">
        <v>744</v>
      </c>
      <c r="D160" s="39"/>
      <c r="E160" s="10"/>
      <c r="F160" s="41">
        <f>Source!AL44</f>
        <v>1377.35</v>
      </c>
      <c r="G160" s="40">
        <f>Source!DD44</f>
      </c>
      <c r="H160" s="42">
        <f>ROUND(Source!AC44*Source!I44,2)</f>
        <v>275.47</v>
      </c>
      <c r="I160" s="40"/>
      <c r="J160" s="40">
        <f>IF(Source!BC44&lt;&gt;0,Source!BC44,1)</f>
        <v>11.05</v>
      </c>
      <c r="K160" s="42">
        <f>Source!P44</f>
        <v>3043.94</v>
      </c>
      <c r="L160" s="43"/>
    </row>
    <row r="161" spans="1:12" ht="14.25">
      <c r="A161" s="37"/>
      <c r="B161" s="38"/>
      <c r="C161" s="38" t="s">
        <v>745</v>
      </c>
      <c r="D161" s="39" t="s">
        <v>746</v>
      </c>
      <c r="E161" s="10">
        <f>Source!BZ44</f>
        <v>128</v>
      </c>
      <c r="F161" s="46" t="str">
        <f>CONCATENATE(" )",Source!DL44,Source!FT44,"=",Source!FX44)</f>
        <v> )*0,9*0,7=80,64</v>
      </c>
      <c r="G161" s="19"/>
      <c r="H161" s="42">
        <f>SUM(S155:S166)</f>
        <v>38.93</v>
      </c>
      <c r="I161" s="47"/>
      <c r="J161" s="36">
        <f>Source!AT44</f>
        <v>81</v>
      </c>
      <c r="K161" s="42">
        <f>SUM(T155:T166)</f>
        <v>1239.68</v>
      </c>
      <c r="L161" s="43"/>
    </row>
    <row r="162" spans="1:12" ht="14.25">
      <c r="A162" s="37"/>
      <c r="B162" s="38"/>
      <c r="C162" s="38" t="s">
        <v>747</v>
      </c>
      <c r="D162" s="39" t="s">
        <v>746</v>
      </c>
      <c r="E162" s="10">
        <f>Source!CA44</f>
        <v>83</v>
      </c>
      <c r="F162" s="46" t="str">
        <f>CONCATENATE(" )",Source!DM44,Source!FU44,"=",Source!FY44)</f>
        <v> )*0,85*0,9=63,495</v>
      </c>
      <c r="G162" s="19"/>
      <c r="H162" s="42">
        <f>SUM(U155:U166)</f>
        <v>30.66</v>
      </c>
      <c r="I162" s="47"/>
      <c r="J162" s="36">
        <f>Source!AU44</f>
        <v>63</v>
      </c>
      <c r="K162" s="42">
        <f>SUM(V155:V166)</f>
        <v>964.2</v>
      </c>
      <c r="L162" s="43"/>
    </row>
    <row r="163" spans="1:12" ht="14.25">
      <c r="A163" s="37"/>
      <c r="B163" s="38"/>
      <c r="C163" s="38" t="s">
        <v>748</v>
      </c>
      <c r="D163" s="39" t="s">
        <v>749</v>
      </c>
      <c r="E163" s="10">
        <f>Source!AQ44</f>
        <v>21.65</v>
      </c>
      <c r="F163" s="41"/>
      <c r="G163" s="40" t="str">
        <f>Source!DI44</f>
        <v>)*1,15</v>
      </c>
      <c r="H163" s="42"/>
      <c r="I163" s="40"/>
      <c r="J163" s="40"/>
      <c r="K163" s="42"/>
      <c r="L163" s="48">
        <f>Source!U44</f>
        <v>4.9795</v>
      </c>
    </row>
    <row r="164" spans="1:26" ht="85.5">
      <c r="A164" s="37" t="str">
        <f>Source!E45</f>
        <v>12,1</v>
      </c>
      <c r="B164" s="38" t="str">
        <f>Source!F45</f>
        <v>301-0825</v>
      </c>
      <c r="C164" s="38" t="str">
        <f>Source!G45</f>
        <v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v>
      </c>
      <c r="D164" s="39" t="str">
        <f>Source!H45</f>
        <v>компл.</v>
      </c>
      <c r="E164" s="10">
        <f>Source!I45</f>
        <v>-2</v>
      </c>
      <c r="F164" s="41">
        <f>Source!AK45</f>
        <v>130</v>
      </c>
      <c r="G164" s="49" t="s">
        <v>6</v>
      </c>
      <c r="H164" s="42">
        <f>ROUND(Source!AC45*Source!I45,2)+ROUND(Source!AD45*Source!I45,2)+ROUND(Source!AF45*Source!I45,2)</f>
        <v>-260</v>
      </c>
      <c r="I164" s="40"/>
      <c r="J164" s="40">
        <f>IF(Source!BC45&lt;&gt;0,Source!BC45,1)</f>
        <v>11.46</v>
      </c>
      <c r="K164" s="42">
        <f>Source!O45</f>
        <v>-2979.6</v>
      </c>
      <c r="L164" s="43"/>
      <c r="S164">
        <f>ROUND((Source!FX45/100)*((ROUND(Source!AF45*Source!I45,2)+ROUND(Source!AE45*Source!I45,2))),2)</f>
        <v>0</v>
      </c>
      <c r="T164">
        <f>Source!X45</f>
        <v>0</v>
      </c>
      <c r="U164">
        <f>ROUND((Source!FY45/100)*((ROUND(Source!AF45*Source!I45,2)+ROUND(Source!AE45*Source!I45,2))),2)</f>
        <v>0</v>
      </c>
      <c r="V164">
        <f>Source!Y45</f>
        <v>0</v>
      </c>
      <c r="W164">
        <f>IF(Source!BI45&lt;=1,H164,0)</f>
        <v>-260</v>
      </c>
      <c r="X164">
        <f>IF(Source!BI45=2,H164,0)</f>
        <v>0</v>
      </c>
      <c r="Y164">
        <f>IF(Source!BI45=3,H164,0)</f>
        <v>0</v>
      </c>
      <c r="Z164">
        <f>IF(Source!BI45=4,H164,0)</f>
        <v>0</v>
      </c>
    </row>
    <row r="165" spans="1:26" ht="28.5">
      <c r="A165" s="37" t="str">
        <f>Source!E46</f>
        <v>12,2</v>
      </c>
      <c r="B165" s="38" t="str">
        <f>Source!F46</f>
        <v>300-9400-138</v>
      </c>
      <c r="C165" s="38" t="str">
        <f>Source!G46</f>
        <v>Умывальники полукруглые "Тюльпан"</v>
      </c>
      <c r="D165" s="39" t="str">
        <f>Source!H46</f>
        <v>шт.</v>
      </c>
      <c r="E165" s="10">
        <f>Source!I46</f>
        <v>2</v>
      </c>
      <c r="F165" s="41">
        <f>Source!AK46</f>
        <v>1649.55</v>
      </c>
      <c r="G165" s="49" t="s">
        <v>6</v>
      </c>
      <c r="H165" s="42">
        <f>ROUND(Source!AC46*Source!I46,2)+ROUND(Source!AD46*Source!I46,2)+ROUND(Source!AF46*Source!I46,2)</f>
        <v>3299.1</v>
      </c>
      <c r="I165" s="40"/>
      <c r="J165" s="40">
        <f>IF(Source!BC46&lt;&gt;0,Source!BC46,1)</f>
        <v>1</v>
      </c>
      <c r="K165" s="42">
        <f>Source!O46</f>
        <v>3299.1</v>
      </c>
      <c r="L165" s="43"/>
      <c r="S165">
        <f>ROUND((Source!FX46/100)*((ROUND(Source!AF46*Source!I46,2)+ROUND(Source!AE46*Source!I46,2))),2)</f>
        <v>0</v>
      </c>
      <c r="T165">
        <f>Source!X46</f>
        <v>0</v>
      </c>
      <c r="U165">
        <f>ROUND((Source!FY46/100)*((ROUND(Source!AF46*Source!I46,2)+ROUND(Source!AE46*Source!I46,2))),2)</f>
        <v>0</v>
      </c>
      <c r="V165">
        <f>Source!Y46</f>
        <v>0</v>
      </c>
      <c r="W165">
        <f>IF(Source!BI46&lt;=1,H165,0)</f>
        <v>3299.1</v>
      </c>
      <c r="X165">
        <f>IF(Source!BI46=2,H165,0)</f>
        <v>0</v>
      </c>
      <c r="Y165">
        <f>IF(Source!BI46=3,H165,0)</f>
        <v>0</v>
      </c>
      <c r="Z165">
        <f>IF(Source!BI46=4,H165,0)</f>
        <v>0</v>
      </c>
    </row>
    <row r="166" spans="1:26" ht="28.5">
      <c r="A166" s="53" t="str">
        <f>Source!E47</f>
        <v>12,3</v>
      </c>
      <c r="B166" s="54" t="str">
        <f>Source!F47</f>
        <v>300-9400-168</v>
      </c>
      <c r="C166" s="54" t="str">
        <f>Source!G47</f>
        <v>Пьедесталы "Тюльпан"</v>
      </c>
      <c r="D166" s="55" t="str">
        <f>Source!H47</f>
        <v>шт.</v>
      </c>
      <c r="E166" s="56">
        <f>Source!I47</f>
        <v>2</v>
      </c>
      <c r="F166" s="57">
        <f>Source!AK47</f>
        <v>691.03</v>
      </c>
      <c r="G166" s="58" t="s">
        <v>6</v>
      </c>
      <c r="H166" s="59">
        <f>ROUND(Source!AC47*Source!I47,2)+ROUND(Source!AD47*Source!I47,2)+ROUND(Source!AF47*Source!I47,2)</f>
        <v>1382.06</v>
      </c>
      <c r="I166" s="60"/>
      <c r="J166" s="60">
        <f>IF(Source!BC47&lt;&gt;0,Source!BC47,1)</f>
        <v>1</v>
      </c>
      <c r="K166" s="59">
        <f>Source!O47</f>
        <v>1382.06</v>
      </c>
      <c r="L166" s="61"/>
      <c r="S166">
        <f>ROUND((Source!FX47/100)*((ROUND(Source!AF47*Source!I47,2)+ROUND(Source!AE47*Source!I47,2))),2)</f>
        <v>0</v>
      </c>
      <c r="T166">
        <f>Source!X47</f>
        <v>0</v>
      </c>
      <c r="U166">
        <f>ROUND((Source!FY47/100)*((ROUND(Source!AF47*Source!I47,2)+ROUND(Source!AE47*Source!I47,2))),2)</f>
        <v>0</v>
      </c>
      <c r="V166">
        <f>Source!Y47</f>
        <v>0</v>
      </c>
      <c r="W166">
        <f>IF(Source!BI47&lt;=1,H166,0)</f>
        <v>1382.06</v>
      </c>
      <c r="X166">
        <f>IF(Source!BI47=2,H166,0)</f>
        <v>0</v>
      </c>
      <c r="Y166">
        <f>IF(Source!BI47=3,H166,0)</f>
        <v>0</v>
      </c>
      <c r="Z166">
        <f>IF(Source!BI47=4,H166,0)</f>
        <v>0</v>
      </c>
    </row>
    <row r="167" spans="7:26" ht="15">
      <c r="G167" s="51">
        <f>H157+H158+H160+H161+H162+SUM(H164:H166)</f>
        <v>4820.03</v>
      </c>
      <c r="H167" s="51"/>
      <c r="J167" s="51">
        <f>K157+K158+K160+K161+K162+SUM(K164:K166)</f>
        <v>8532.69</v>
      </c>
      <c r="K167" s="51"/>
      <c r="L167" s="52">
        <f>Source!U44</f>
        <v>4.9795</v>
      </c>
      <c r="O167" s="50">
        <f>G167</f>
        <v>4820.03</v>
      </c>
      <c r="P167" s="50">
        <f>J167</f>
        <v>8532.69</v>
      </c>
      <c r="Q167" s="50">
        <f>L167</f>
        <v>4.9795</v>
      </c>
      <c r="W167">
        <f>IF(Source!BI44&lt;=1,H157+H158+H160+H161+H162,0)</f>
        <v>398.87000000000006</v>
      </c>
      <c r="X167">
        <f>IF(Source!BI44=2,H157+H158+H160+H161+H162,0)</f>
        <v>0</v>
      </c>
      <c r="Y167">
        <f>IF(Source!BI44=3,H157+H158+H160+H161+H162,0)</f>
        <v>0</v>
      </c>
      <c r="Z167">
        <f>IF(Source!BI44=4,H157+H158+H160+H161+H162,0)</f>
        <v>0</v>
      </c>
    </row>
    <row r="168" spans="1:22" ht="28.5">
      <c r="A168" s="37" t="str">
        <f>Source!E48</f>
        <v>13</v>
      </c>
      <c r="B168" s="38" t="str">
        <f>Source!F48</f>
        <v>17-01-002-3</v>
      </c>
      <c r="C168" s="38" t="str">
        <f>Source!G48</f>
        <v>Установка смесителей</v>
      </c>
      <c r="D168" s="39" t="str">
        <f>Source!H48</f>
        <v>10 шт.</v>
      </c>
      <c r="E168" s="10">
        <f>Source!I48</f>
        <v>0.2</v>
      </c>
      <c r="F168" s="41">
        <f>IF(Source!AK48&lt;&gt;0,Source!AK48,Source!AL48+Source!AM48+Source!AO48)</f>
        <v>1512.97</v>
      </c>
      <c r="G168" s="40"/>
      <c r="H168" s="42"/>
      <c r="I168" s="40" t="str">
        <f>Source!BO48</f>
        <v>17-01-002-3</v>
      </c>
      <c r="J168" s="40"/>
      <c r="K168" s="42"/>
      <c r="L168" s="43"/>
      <c r="S168">
        <f>ROUND((Source!FX48/100)*((ROUND(Source!AF48*Source!I48,2)+ROUND(Source!AE48*Source!I48,2))),2)</f>
        <v>12.49</v>
      </c>
      <c r="T168">
        <f>Source!X48</f>
        <v>397.69</v>
      </c>
      <c r="U168">
        <f>ROUND((Source!FY48/100)*((ROUND(Source!AF48*Source!I48,2)+ROUND(Source!AE48*Source!I48,2))),2)</f>
        <v>9.84</v>
      </c>
      <c r="V168">
        <f>Source!Y48</f>
        <v>309.32</v>
      </c>
    </row>
    <row r="169" ht="12.75">
      <c r="C169" s="44" t="str">
        <f>"Объем: "&amp;Source!I48&amp;"=2/"&amp;"10"</f>
        <v>Объем: 0,2=2/10</v>
      </c>
    </row>
    <row r="170" spans="1:18" ht="14.25">
      <c r="A170" s="37"/>
      <c r="B170" s="38"/>
      <c r="C170" s="38" t="s">
        <v>742</v>
      </c>
      <c r="D170" s="39"/>
      <c r="E170" s="10"/>
      <c r="F170" s="41">
        <f>Source!AO48</f>
        <v>67.34</v>
      </c>
      <c r="G170" s="40" t="str">
        <f>Source!DG48</f>
        <v>)*1,15</v>
      </c>
      <c r="H170" s="42">
        <f>ROUND(Source!AF48*Source!I48,2)</f>
        <v>15.49</v>
      </c>
      <c r="I170" s="40"/>
      <c r="J170" s="40">
        <f>IF(Source!BA48&lt;&gt;0,Source!BA48,1)</f>
        <v>31.7</v>
      </c>
      <c r="K170" s="42">
        <f>Source!S48</f>
        <v>490.98</v>
      </c>
      <c r="L170" s="43"/>
      <c r="R170">
        <f>H170</f>
        <v>15.49</v>
      </c>
    </row>
    <row r="171" spans="1:12" ht="14.25">
      <c r="A171" s="37"/>
      <c r="B171" s="38"/>
      <c r="C171" s="38" t="s">
        <v>234</v>
      </c>
      <c r="D171" s="39"/>
      <c r="E171" s="10"/>
      <c r="F171" s="41">
        <f>Source!AM48</f>
        <v>0.2</v>
      </c>
      <c r="G171" s="40" t="str">
        <f>Source!DE48</f>
        <v>)*1,25</v>
      </c>
      <c r="H171" s="42">
        <f>ROUND(Source!AD48*Source!I48,2)</f>
        <v>0.05</v>
      </c>
      <c r="I171" s="40"/>
      <c r="J171" s="40">
        <f>IF(Source!BB48&lt;&gt;0,Source!BB48,1)</f>
        <v>3.65</v>
      </c>
      <c r="K171" s="42">
        <f>Source!Q48</f>
        <v>0.18</v>
      </c>
      <c r="L171" s="43"/>
    </row>
    <row r="172" spans="1:12" ht="14.25">
      <c r="A172" s="37"/>
      <c r="B172" s="38"/>
      <c r="C172" s="38" t="s">
        <v>744</v>
      </c>
      <c r="D172" s="39"/>
      <c r="E172" s="10"/>
      <c r="F172" s="41">
        <f>Source!AL48</f>
        <v>1445.43</v>
      </c>
      <c r="G172" s="40">
        <f>Source!DD48</f>
      </c>
      <c r="H172" s="42">
        <f>ROUND(Source!AC48*Source!I48,2)</f>
        <v>289.09</v>
      </c>
      <c r="I172" s="40"/>
      <c r="J172" s="40">
        <f>IF(Source!BC48&lt;&gt;0,Source!BC48,1)</f>
        <v>3.92</v>
      </c>
      <c r="K172" s="42">
        <f>Source!P48</f>
        <v>1133.22</v>
      </c>
      <c r="L172" s="43"/>
    </row>
    <row r="173" spans="1:12" ht="14.25">
      <c r="A173" s="37"/>
      <c r="B173" s="38"/>
      <c r="C173" s="38" t="s">
        <v>745</v>
      </c>
      <c r="D173" s="39" t="s">
        <v>746</v>
      </c>
      <c r="E173" s="10">
        <f>Source!BZ48</f>
        <v>128</v>
      </c>
      <c r="F173" s="46" t="str">
        <f>CONCATENATE(" )",Source!DL48,Source!FT48,"=",Source!FX48)</f>
        <v> )*0,9*0,7=80,64</v>
      </c>
      <c r="G173" s="19"/>
      <c r="H173" s="42">
        <f>SUM(S168:S177)</f>
        <v>12.49</v>
      </c>
      <c r="I173" s="47"/>
      <c r="J173" s="36">
        <f>Source!AT48</f>
        <v>81</v>
      </c>
      <c r="K173" s="42">
        <f>SUM(T168:T177)</f>
        <v>397.69</v>
      </c>
      <c r="L173" s="43"/>
    </row>
    <row r="174" spans="1:12" ht="14.25">
      <c r="A174" s="37"/>
      <c r="B174" s="38"/>
      <c r="C174" s="38" t="s">
        <v>747</v>
      </c>
      <c r="D174" s="39" t="s">
        <v>746</v>
      </c>
      <c r="E174" s="10">
        <f>Source!CA48</f>
        <v>83</v>
      </c>
      <c r="F174" s="46" t="str">
        <f>CONCATENATE(" )",Source!DM48,Source!FU48,"=",Source!FY48)</f>
        <v> )*0,85*0,9=63,495</v>
      </c>
      <c r="G174" s="19"/>
      <c r="H174" s="42">
        <f>SUM(U168:U177)</f>
        <v>9.84</v>
      </c>
      <c r="I174" s="47"/>
      <c r="J174" s="36">
        <f>Source!AU48</f>
        <v>63</v>
      </c>
      <c r="K174" s="42">
        <f>SUM(V168:V177)</f>
        <v>309.32</v>
      </c>
      <c r="L174" s="43"/>
    </row>
    <row r="175" spans="1:12" ht="14.25">
      <c r="A175" s="37"/>
      <c r="B175" s="38"/>
      <c r="C175" s="38" t="s">
        <v>748</v>
      </c>
      <c r="D175" s="39" t="s">
        <v>749</v>
      </c>
      <c r="E175" s="10">
        <f>Source!AQ48</f>
        <v>7</v>
      </c>
      <c r="F175" s="41"/>
      <c r="G175" s="40" t="str">
        <f>Source!DI48</f>
        <v>)*1,15</v>
      </c>
      <c r="H175" s="42"/>
      <c r="I175" s="40"/>
      <c r="J175" s="40"/>
      <c r="K175" s="42"/>
      <c r="L175" s="48">
        <f>Source!U48</f>
        <v>1.6099999999999999</v>
      </c>
    </row>
    <row r="176" spans="1:26" ht="57">
      <c r="A176" s="37" t="str">
        <f>Source!E49</f>
        <v>13,1</v>
      </c>
      <c r="B176" s="38" t="str">
        <f>Source!F49</f>
        <v>301-1527</v>
      </c>
      <c r="C176" s="38" t="str">
        <f>Source!G49</f>
        <v>Смеситель латунный с гальванопокрытием для мойки настольный, с верхней камерой смешения</v>
      </c>
      <c r="D176" s="39" t="str">
        <f>Source!H49</f>
        <v>шт.</v>
      </c>
      <c r="E176" s="10">
        <f>Source!I49</f>
        <v>-2</v>
      </c>
      <c r="F176" s="41">
        <f>Source!AK49</f>
        <v>143</v>
      </c>
      <c r="G176" s="49" t="s">
        <v>6</v>
      </c>
      <c r="H176" s="42">
        <f>ROUND(Source!AC49*Source!I49,2)+ROUND(Source!AD49*Source!I49,2)+ROUND(Source!AF49*Source!I49,2)</f>
        <v>-286</v>
      </c>
      <c r="I176" s="40"/>
      <c r="J176" s="40">
        <f>IF(Source!BC49&lt;&gt;0,Source!BC49,1)</f>
        <v>3.93</v>
      </c>
      <c r="K176" s="42">
        <f>Source!O49</f>
        <v>-1123.98</v>
      </c>
      <c r="L176" s="43"/>
      <c r="S176">
        <f>ROUND((Source!FX49/100)*((ROUND(Source!AF49*Source!I49,2)+ROUND(Source!AE49*Source!I49,2))),2)</f>
        <v>0</v>
      </c>
      <c r="T176">
        <f>Source!X49</f>
        <v>0</v>
      </c>
      <c r="U176">
        <f>ROUND((Source!FY49/100)*((ROUND(Source!AF49*Source!I49,2)+ROUND(Source!AE49*Source!I49,2))),2)</f>
        <v>0</v>
      </c>
      <c r="V176">
        <f>Source!Y49</f>
        <v>0</v>
      </c>
      <c r="W176">
        <f>IF(Source!BI49&lt;=1,H176,0)</f>
        <v>-286</v>
      </c>
      <c r="X176">
        <f>IF(Source!BI49=2,H176,0)</f>
        <v>0</v>
      </c>
      <c r="Y176">
        <f>IF(Source!BI49=3,H176,0)</f>
        <v>0</v>
      </c>
      <c r="Z176">
        <f>IF(Source!BI49=4,H176,0)</f>
        <v>0</v>
      </c>
    </row>
    <row r="177" spans="1:26" ht="111">
      <c r="A177" s="53" t="str">
        <f>Source!E50</f>
        <v>13,2</v>
      </c>
      <c r="B177" s="54" t="str">
        <f>Source!F50</f>
        <v>300-9450-053</v>
      </c>
      <c r="C177" s="54" t="s">
        <v>752</v>
      </c>
      <c r="D177" s="55" t="str">
        <f>Source!H50</f>
        <v>шт.</v>
      </c>
      <c r="E177" s="56">
        <f>Source!I50</f>
        <v>2</v>
      </c>
      <c r="F177" s="57">
        <f>Source!AK50</f>
        <v>1194.78</v>
      </c>
      <c r="G177" s="58" t="s">
        <v>6</v>
      </c>
      <c r="H177" s="59">
        <f>ROUND(Source!AC50*Source!I50,2)+ROUND(Source!AD50*Source!I50,2)+ROUND(Source!AF50*Source!I50,2)</f>
        <v>2389.56</v>
      </c>
      <c r="I177" s="60"/>
      <c r="J177" s="60">
        <f>IF(Source!BC50&lt;&gt;0,Source!BC50,1)</f>
        <v>1</v>
      </c>
      <c r="K177" s="59">
        <f>Source!O50</f>
        <v>2389.56</v>
      </c>
      <c r="L177" s="61"/>
      <c r="S177">
        <f>ROUND((Source!FX50/100)*((ROUND(Source!AF50*Source!I50,2)+ROUND(Source!AE50*Source!I50,2))),2)</f>
        <v>0</v>
      </c>
      <c r="T177">
        <f>Source!X50</f>
        <v>0</v>
      </c>
      <c r="U177">
        <f>ROUND((Source!FY50/100)*((ROUND(Source!AF50*Source!I50,2)+ROUND(Source!AE50*Source!I50,2))),2)</f>
        <v>0</v>
      </c>
      <c r="V177">
        <f>Source!Y50</f>
        <v>0</v>
      </c>
      <c r="W177">
        <f>IF(Source!BI50&lt;=1,H177,0)</f>
        <v>2389.56</v>
      </c>
      <c r="X177">
        <f>IF(Source!BI50=2,H177,0)</f>
        <v>0</v>
      </c>
      <c r="Y177">
        <f>IF(Source!BI50=3,H177,0)</f>
        <v>0</v>
      </c>
      <c r="Z177">
        <f>IF(Source!BI50=4,H177,0)</f>
        <v>0</v>
      </c>
    </row>
    <row r="178" spans="7:26" ht="15">
      <c r="G178" s="51">
        <f>H170+H171+H172+H173+H174+SUM(H176:H177)</f>
        <v>2430.52</v>
      </c>
      <c r="H178" s="51"/>
      <c r="J178" s="51">
        <f>K170+K171+K172+K173+K174+SUM(K176:K177)</f>
        <v>3596.9700000000003</v>
      </c>
      <c r="K178" s="51"/>
      <c r="L178" s="52">
        <f>Source!U48</f>
        <v>1.6099999999999999</v>
      </c>
      <c r="O178" s="50">
        <f>G178</f>
        <v>2430.52</v>
      </c>
      <c r="P178" s="50">
        <f>J178</f>
        <v>3596.9700000000003</v>
      </c>
      <c r="Q178" s="50">
        <f>L178</f>
        <v>1.6099999999999999</v>
      </c>
      <c r="W178">
        <f>IF(Source!BI48&lt;=1,H170+H171+H172+H173+H174,0)</f>
        <v>326.96</v>
      </c>
      <c r="X178">
        <f>IF(Source!BI48=2,H170+H171+H172+H173+H174,0)</f>
        <v>0</v>
      </c>
      <c r="Y178">
        <f>IF(Source!BI48=3,H170+H171+H172+H173+H174,0)</f>
        <v>0</v>
      </c>
      <c r="Z178">
        <f>IF(Source!BI48=4,H170+H171+H172+H173+H174,0)</f>
        <v>0</v>
      </c>
    </row>
    <row r="179" spans="1:22" ht="42.75">
      <c r="A179" s="37" t="str">
        <f>Source!E51</f>
        <v>14</v>
      </c>
      <c r="B179" s="38" t="str">
        <f>Source!F51</f>
        <v>16-04-005-1</v>
      </c>
      <c r="C179" s="38" t="str">
        <f>Source!G51</f>
        <v>Прокладка внутренних трубопроводов водоснабжения и отопления из полипропиленовых труб: 20 мм</v>
      </c>
      <c r="D179" s="39" t="str">
        <f>Source!H51</f>
        <v>100 м трещин</v>
      </c>
      <c r="E179" s="10">
        <f>Source!I51</f>
        <v>0.04</v>
      </c>
      <c r="F179" s="41">
        <f>IF(Source!AK51&lt;&gt;0,Source!AK51,Source!AL51+Source!AM51+Source!AO51)</f>
        <v>1441.06</v>
      </c>
      <c r="G179" s="40"/>
      <c r="H179" s="42"/>
      <c r="I179" s="40" t="str">
        <f>Source!BO51</f>
        <v>16-04-005-1</v>
      </c>
      <c r="J179" s="40"/>
      <c r="K179" s="42"/>
      <c r="L179" s="43"/>
      <c r="S179">
        <f>ROUND((Source!FX51/100)*((ROUND(Source!AF51*Source!I51,2)+ROUND(Source!AE51*Source!I51,2))),2)</f>
        <v>34.21</v>
      </c>
      <c r="T179">
        <f>Source!X51</f>
        <v>1089.16</v>
      </c>
      <c r="U179">
        <f>ROUND((Source!FY51/100)*((ROUND(Source!AF51*Source!I51,2)+ROUND(Source!AE51*Source!I51,2))),2)</f>
        <v>26.93</v>
      </c>
      <c r="V179">
        <f>Source!Y51</f>
        <v>847.12</v>
      </c>
    </row>
    <row r="180" ht="12.75">
      <c r="C180" s="44" t="str">
        <f>"Объем: "&amp;Source!I51&amp;"=4/"&amp;"100"</f>
        <v>Объем: 0,04=4/100</v>
      </c>
    </row>
    <row r="181" spans="1:18" ht="14.25">
      <c r="A181" s="37"/>
      <c r="B181" s="38"/>
      <c r="C181" s="38" t="s">
        <v>742</v>
      </c>
      <c r="D181" s="39"/>
      <c r="E181" s="10"/>
      <c r="F181" s="41">
        <f>Source!AO51</f>
        <v>921.99</v>
      </c>
      <c r="G181" s="40" t="str">
        <f>Source!DG51</f>
        <v>)*1,15</v>
      </c>
      <c r="H181" s="42">
        <f>ROUND(Source!AF51*Source!I51,2)</f>
        <v>42.41</v>
      </c>
      <c r="I181" s="40"/>
      <c r="J181" s="40">
        <f>IF(Source!BA51&lt;&gt;0,Source!BA51,1)</f>
        <v>31.7</v>
      </c>
      <c r="K181" s="42">
        <f>Source!S51</f>
        <v>1344.45</v>
      </c>
      <c r="L181" s="43"/>
      <c r="R181">
        <f>H181</f>
        <v>42.41</v>
      </c>
    </row>
    <row r="182" spans="1:12" ht="14.25">
      <c r="A182" s="37"/>
      <c r="B182" s="38"/>
      <c r="C182" s="38" t="s">
        <v>234</v>
      </c>
      <c r="D182" s="39"/>
      <c r="E182" s="10"/>
      <c r="F182" s="41">
        <f>Source!AM51</f>
        <v>480.71</v>
      </c>
      <c r="G182" s="40" t="str">
        <f>Source!DE51</f>
        <v>)*1,25</v>
      </c>
      <c r="H182" s="42">
        <f>ROUND(Source!AD51*Source!I51,2)</f>
        <v>24.04</v>
      </c>
      <c r="I182" s="40"/>
      <c r="J182" s="40">
        <f>IF(Source!BB51&lt;&gt;0,Source!BB51,1)</f>
        <v>5.46</v>
      </c>
      <c r="K182" s="42">
        <f>Source!Q51</f>
        <v>131.23</v>
      </c>
      <c r="L182" s="43"/>
    </row>
    <row r="183" spans="1:18" ht="14.25">
      <c r="A183" s="37"/>
      <c r="B183" s="38"/>
      <c r="C183" s="38" t="s">
        <v>743</v>
      </c>
      <c r="D183" s="39"/>
      <c r="E183" s="10"/>
      <c r="F183" s="41">
        <f>Source!AN51</f>
        <v>0.12</v>
      </c>
      <c r="G183" s="40" t="str">
        <f>Source!DF51</f>
        <v>)*1,25</v>
      </c>
      <c r="H183" s="45">
        <f>ROUND(Source!AE51*Source!I51,2)</f>
        <v>0.01</v>
      </c>
      <c r="I183" s="40"/>
      <c r="J183" s="40">
        <f>IF(Source!BS51&lt;&gt;0,Source!BS51,1)</f>
        <v>31.7</v>
      </c>
      <c r="K183" s="45">
        <f>Source!R51</f>
        <v>0.19</v>
      </c>
      <c r="L183" s="43"/>
      <c r="R183">
        <f>H183</f>
        <v>0.01</v>
      </c>
    </row>
    <row r="184" spans="1:12" ht="14.25">
      <c r="A184" s="37"/>
      <c r="B184" s="38"/>
      <c r="C184" s="38" t="s">
        <v>744</v>
      </c>
      <c r="D184" s="39"/>
      <c r="E184" s="10"/>
      <c r="F184" s="41">
        <f>Source!AL51</f>
        <v>38.36</v>
      </c>
      <c r="G184" s="40">
        <f>Source!DD51</f>
      </c>
      <c r="H184" s="42">
        <f>ROUND(Source!AC51*Source!I51,2)</f>
        <v>1.53</v>
      </c>
      <c r="I184" s="40"/>
      <c r="J184" s="40">
        <f>IF(Source!BC51&lt;&gt;0,Source!BC51,1)</f>
        <v>3.08</v>
      </c>
      <c r="K184" s="42">
        <f>Source!P51</f>
        <v>4.73</v>
      </c>
      <c r="L184" s="43"/>
    </row>
    <row r="185" spans="1:12" ht="14.25">
      <c r="A185" s="37"/>
      <c r="B185" s="38"/>
      <c r="C185" s="38" t="s">
        <v>745</v>
      </c>
      <c r="D185" s="39" t="s">
        <v>746</v>
      </c>
      <c r="E185" s="10">
        <f>Source!BZ51</f>
        <v>128</v>
      </c>
      <c r="F185" s="46" t="str">
        <f>CONCATENATE(" )",Source!DL51,Source!FT51,"=",Source!FX51)</f>
        <v> )*0,9*0,7=80,64</v>
      </c>
      <c r="G185" s="19"/>
      <c r="H185" s="42">
        <f>SUM(S179:S188)</f>
        <v>34.21</v>
      </c>
      <c r="I185" s="47"/>
      <c r="J185" s="36">
        <f>Source!AT51</f>
        <v>81</v>
      </c>
      <c r="K185" s="42">
        <f>SUM(T179:T188)</f>
        <v>1089.16</v>
      </c>
      <c r="L185" s="43"/>
    </row>
    <row r="186" spans="1:12" ht="14.25">
      <c r="A186" s="37"/>
      <c r="B186" s="38"/>
      <c r="C186" s="38" t="s">
        <v>747</v>
      </c>
      <c r="D186" s="39" t="s">
        <v>746</v>
      </c>
      <c r="E186" s="10">
        <f>Source!CA51</f>
        <v>83</v>
      </c>
      <c r="F186" s="46" t="str">
        <f>CONCATENATE(" )",Source!DM51,Source!FU51,"=",Source!FY51)</f>
        <v> )*0,85*0,9=63,495</v>
      </c>
      <c r="G186" s="19"/>
      <c r="H186" s="42">
        <f>SUM(U179:U188)</f>
        <v>26.93</v>
      </c>
      <c r="I186" s="47"/>
      <c r="J186" s="36">
        <f>Source!AU51</f>
        <v>63</v>
      </c>
      <c r="K186" s="42">
        <f>SUM(V179:V188)</f>
        <v>847.12</v>
      </c>
      <c r="L186" s="43"/>
    </row>
    <row r="187" spans="1:12" ht="14.25">
      <c r="A187" s="37"/>
      <c r="B187" s="38"/>
      <c r="C187" s="38" t="s">
        <v>748</v>
      </c>
      <c r="D187" s="39" t="s">
        <v>749</v>
      </c>
      <c r="E187" s="10">
        <f>Source!AQ51</f>
        <v>96.95</v>
      </c>
      <c r="F187" s="41"/>
      <c r="G187" s="40" t="str">
        <f>Source!DI51</f>
        <v>)*1,15</v>
      </c>
      <c r="H187" s="42"/>
      <c r="I187" s="40"/>
      <c r="J187" s="40"/>
      <c r="K187" s="42"/>
      <c r="L187" s="48">
        <f>Source!U51</f>
        <v>4.4597</v>
      </c>
    </row>
    <row r="188" spans="1:26" ht="85.5">
      <c r="A188" s="53" t="str">
        <f>Source!E52</f>
        <v>14,1</v>
      </c>
      <c r="B188" s="54" t="str">
        <f>Source!F52</f>
        <v>302-3344</v>
      </c>
      <c r="C188" s="54" t="str">
        <f>Source!G52</f>
        <v>Трубопроводы напорные из полипропилена PPRS с гильзами и креплениями для холодного и горячего водоснабжения PN20 SDR 6, диаметром 20 мм, толщина стенки 3,4 мм</v>
      </c>
      <c r="D188" s="55" t="str">
        <f>Source!H52</f>
        <v>1 м</v>
      </c>
      <c r="E188" s="56">
        <f>Source!I52</f>
        <v>4</v>
      </c>
      <c r="F188" s="57">
        <f>Source!AK52</f>
        <v>30.92</v>
      </c>
      <c r="G188" s="58" t="s">
        <v>6</v>
      </c>
      <c r="H188" s="59">
        <f>ROUND(Source!AC52*Source!I52,2)+ROUND(Source!AD52*Source!I52,2)+ROUND(Source!AF52*Source!I52,2)</f>
        <v>123.68</v>
      </c>
      <c r="I188" s="60"/>
      <c r="J188" s="60">
        <f>IF(Source!BC52&lt;&gt;0,Source!BC52,1)</f>
        <v>2.02</v>
      </c>
      <c r="K188" s="59">
        <f>Source!O52</f>
        <v>249.83</v>
      </c>
      <c r="L188" s="61"/>
      <c r="S188">
        <f>ROUND((Source!FX52/100)*((ROUND(Source!AF52*Source!I52,2)+ROUND(Source!AE52*Source!I52,2))),2)</f>
        <v>0</v>
      </c>
      <c r="T188">
        <f>Source!X52</f>
        <v>0</v>
      </c>
      <c r="U188">
        <f>ROUND((Source!FY52/100)*((ROUND(Source!AF52*Source!I52,2)+ROUND(Source!AE52*Source!I52,2))),2)</f>
        <v>0</v>
      </c>
      <c r="V188">
        <f>Source!Y52</f>
        <v>0</v>
      </c>
      <c r="W188">
        <f>IF(Source!BI52&lt;=1,H188,0)</f>
        <v>123.68</v>
      </c>
      <c r="X188">
        <f>IF(Source!BI52=2,H188,0)</f>
        <v>0</v>
      </c>
      <c r="Y188">
        <f>IF(Source!BI52=3,H188,0)</f>
        <v>0</v>
      </c>
      <c r="Z188">
        <f>IF(Source!BI52=4,H188,0)</f>
        <v>0</v>
      </c>
    </row>
    <row r="189" spans="7:26" ht="15">
      <c r="G189" s="51">
        <f>H181+H182+H184+H185+H186+SUM(H188:H188)</f>
        <v>252.8</v>
      </c>
      <c r="H189" s="51"/>
      <c r="J189" s="51">
        <f>K181+K182+K184+K185+K186+SUM(K188:K188)</f>
        <v>3666.52</v>
      </c>
      <c r="K189" s="51"/>
      <c r="L189" s="52">
        <f>Source!U51</f>
        <v>4.4597</v>
      </c>
      <c r="O189" s="50">
        <f>G189</f>
        <v>252.8</v>
      </c>
      <c r="P189" s="50">
        <f>J189</f>
        <v>3666.52</v>
      </c>
      <c r="Q189" s="50">
        <f>L189</f>
        <v>4.4597</v>
      </c>
      <c r="W189">
        <f>IF(Source!BI51&lt;=1,H181+H182+H184+H185+H186,0)</f>
        <v>129.12</v>
      </c>
      <c r="X189">
        <f>IF(Source!BI51=2,H181+H182+H184+H185+H186,0)</f>
        <v>0</v>
      </c>
      <c r="Y189">
        <f>IF(Source!BI51=3,H181+H182+H184+H185+H186,0)</f>
        <v>0</v>
      </c>
      <c r="Z189">
        <f>IF(Source!BI51=4,H181+H182+H184+H185+H186,0)</f>
        <v>0</v>
      </c>
    </row>
    <row r="190" spans="1:22" ht="42.75">
      <c r="A190" s="37" t="str">
        <f>Source!E53</f>
        <v>15</v>
      </c>
      <c r="B190" s="38" t="str">
        <f>Source!F53</f>
        <v>16-04-005-2</v>
      </c>
      <c r="C190" s="38" t="str">
        <f>Source!G53</f>
        <v>Прокладка внутренних трубопроводов водоснабжения и отопления из полипропиленовых труб: 25 мм</v>
      </c>
      <c r="D190" s="39" t="str">
        <f>Source!H53</f>
        <v>100 м трещин</v>
      </c>
      <c r="E190" s="10">
        <f>Source!I53</f>
        <v>0.16</v>
      </c>
      <c r="F190" s="41">
        <f>IF(Source!AK53&lt;&gt;0,Source!AK53,Source!AL53+Source!AM53+Source!AO53)</f>
        <v>1193.94</v>
      </c>
      <c r="G190" s="40"/>
      <c r="H190" s="42"/>
      <c r="I190" s="40" t="str">
        <f>Source!BO53</f>
        <v>16-04-005-2</v>
      </c>
      <c r="J190" s="40"/>
      <c r="K190" s="42"/>
      <c r="L190" s="43"/>
      <c r="S190">
        <f>ROUND((Source!FX53/100)*((ROUND(Source!AF53*Source!I53,2)+ROUND(Source!AE53*Source!I53,2))),2)</f>
        <v>114.94</v>
      </c>
      <c r="T190">
        <f>Source!X53</f>
        <v>3660.22</v>
      </c>
      <c r="U190">
        <f>ROUND((Source!FY53/100)*((ROUND(Source!AF53*Source!I53,2)+ROUND(Source!AE53*Source!I53,2))),2)</f>
        <v>90.51</v>
      </c>
      <c r="V190">
        <f>Source!Y53</f>
        <v>2846.84</v>
      </c>
    </row>
    <row r="191" ht="12.75">
      <c r="C191" s="44" t="str">
        <f>"Объем: "&amp;Source!I53&amp;"=16/"&amp;"100"</f>
        <v>Объем: 0,16=16/100</v>
      </c>
    </row>
    <row r="192" spans="1:18" ht="14.25">
      <c r="A192" s="37"/>
      <c r="B192" s="38"/>
      <c r="C192" s="38" t="s">
        <v>742</v>
      </c>
      <c r="D192" s="39"/>
      <c r="E192" s="10"/>
      <c r="F192" s="41">
        <f>Source!AO53</f>
        <v>774.59</v>
      </c>
      <c r="G192" s="40" t="str">
        <f>Source!DG53</f>
        <v>)*1,15</v>
      </c>
      <c r="H192" s="42">
        <f>ROUND(Source!AF53*Source!I53,2)</f>
        <v>142.52</v>
      </c>
      <c r="I192" s="40"/>
      <c r="J192" s="40">
        <f>IF(Source!BA53&lt;&gt;0,Source!BA53,1)</f>
        <v>31.7</v>
      </c>
      <c r="K192" s="42">
        <f>Source!S53</f>
        <v>4518.03</v>
      </c>
      <c r="L192" s="43"/>
      <c r="R192">
        <f>H192</f>
        <v>142.52</v>
      </c>
    </row>
    <row r="193" spans="1:12" ht="14.25">
      <c r="A193" s="37"/>
      <c r="B193" s="38"/>
      <c r="C193" s="38" t="s">
        <v>234</v>
      </c>
      <c r="D193" s="39"/>
      <c r="E193" s="10"/>
      <c r="F193" s="41">
        <f>Source!AM53</f>
        <v>385.39</v>
      </c>
      <c r="G193" s="40" t="str">
        <f>Source!DE53</f>
        <v>)*1,25</v>
      </c>
      <c r="H193" s="42">
        <f>ROUND(Source!AD53*Source!I53,2)</f>
        <v>77.08</v>
      </c>
      <c r="I193" s="40"/>
      <c r="J193" s="40">
        <f>IF(Source!BB53&lt;&gt;0,Source!BB53,1)</f>
        <v>5.66</v>
      </c>
      <c r="K193" s="42">
        <f>Source!Q53</f>
        <v>436.26</v>
      </c>
      <c r="L193" s="43"/>
    </row>
    <row r="194" spans="1:18" ht="14.25">
      <c r="A194" s="37"/>
      <c r="B194" s="38"/>
      <c r="C194" s="38" t="s">
        <v>743</v>
      </c>
      <c r="D194" s="39"/>
      <c r="E194" s="10"/>
      <c r="F194" s="41">
        <f>Source!AN53</f>
        <v>0.12</v>
      </c>
      <c r="G194" s="40" t="str">
        <f>Source!DF53</f>
        <v>)*1,25</v>
      </c>
      <c r="H194" s="45">
        <f>ROUND(Source!AE53*Source!I53,2)</f>
        <v>0.02</v>
      </c>
      <c r="I194" s="40"/>
      <c r="J194" s="40">
        <f>IF(Source!BS53&lt;&gt;0,Source!BS53,1)</f>
        <v>31.7</v>
      </c>
      <c r="K194" s="45">
        <f>Source!R53</f>
        <v>0.76</v>
      </c>
      <c r="L194" s="43"/>
      <c r="R194">
        <f>H194</f>
        <v>0.02</v>
      </c>
    </row>
    <row r="195" spans="1:12" ht="14.25">
      <c r="A195" s="37"/>
      <c r="B195" s="38"/>
      <c r="C195" s="38" t="s">
        <v>744</v>
      </c>
      <c r="D195" s="39"/>
      <c r="E195" s="10"/>
      <c r="F195" s="41">
        <f>Source!AL53</f>
        <v>33.96</v>
      </c>
      <c r="G195" s="40">
        <f>Source!DD53</f>
      </c>
      <c r="H195" s="42">
        <f>ROUND(Source!AC53*Source!I53,2)</f>
        <v>5.43</v>
      </c>
      <c r="I195" s="40"/>
      <c r="J195" s="40">
        <f>IF(Source!BC53&lt;&gt;0,Source!BC53,1)</f>
        <v>3.12</v>
      </c>
      <c r="K195" s="42">
        <f>Source!P53</f>
        <v>16.95</v>
      </c>
      <c r="L195" s="43"/>
    </row>
    <row r="196" spans="1:12" ht="14.25">
      <c r="A196" s="37"/>
      <c r="B196" s="38"/>
      <c r="C196" s="38" t="s">
        <v>745</v>
      </c>
      <c r="D196" s="39" t="s">
        <v>746</v>
      </c>
      <c r="E196" s="10">
        <f>Source!BZ53</f>
        <v>128</v>
      </c>
      <c r="F196" s="46" t="str">
        <f>CONCATENATE(" )",Source!DL53,Source!FT53,"=",Source!FX53)</f>
        <v> )*0,9*0,7=80,64</v>
      </c>
      <c r="G196" s="19"/>
      <c r="H196" s="42">
        <f>SUM(S190:S199)</f>
        <v>114.94</v>
      </c>
      <c r="I196" s="47"/>
      <c r="J196" s="36">
        <f>Source!AT53</f>
        <v>81</v>
      </c>
      <c r="K196" s="42">
        <f>SUM(T190:T199)</f>
        <v>3660.22</v>
      </c>
      <c r="L196" s="43"/>
    </row>
    <row r="197" spans="1:12" ht="14.25">
      <c r="A197" s="37"/>
      <c r="B197" s="38"/>
      <c r="C197" s="38" t="s">
        <v>747</v>
      </c>
      <c r="D197" s="39" t="s">
        <v>746</v>
      </c>
      <c r="E197" s="10">
        <f>Source!CA53</f>
        <v>83</v>
      </c>
      <c r="F197" s="46" t="str">
        <f>CONCATENATE(" )",Source!DM53,Source!FU53,"=",Source!FY53)</f>
        <v> )*0,85*0,9=63,495</v>
      </c>
      <c r="G197" s="19"/>
      <c r="H197" s="42">
        <f>SUM(U190:U199)</f>
        <v>90.51</v>
      </c>
      <c r="I197" s="47"/>
      <c r="J197" s="36">
        <f>Source!AU53</f>
        <v>63</v>
      </c>
      <c r="K197" s="42">
        <f>SUM(V190:V199)</f>
        <v>2846.84</v>
      </c>
      <c r="L197" s="43"/>
    </row>
    <row r="198" spans="1:12" ht="14.25">
      <c r="A198" s="37"/>
      <c r="B198" s="38"/>
      <c r="C198" s="38" t="s">
        <v>748</v>
      </c>
      <c r="D198" s="39" t="s">
        <v>749</v>
      </c>
      <c r="E198" s="10">
        <f>Source!AQ53</f>
        <v>81.45</v>
      </c>
      <c r="F198" s="41"/>
      <c r="G198" s="40" t="str">
        <f>Source!DI53</f>
        <v>)*1,15</v>
      </c>
      <c r="H198" s="42"/>
      <c r="I198" s="40"/>
      <c r="J198" s="40"/>
      <c r="K198" s="42"/>
      <c r="L198" s="48">
        <f>Source!U53</f>
        <v>14.986799999999999</v>
      </c>
    </row>
    <row r="199" spans="1:26" ht="85.5">
      <c r="A199" s="53" t="str">
        <f>Source!E54</f>
        <v>15,1</v>
      </c>
      <c r="B199" s="54" t="str">
        <f>Source!F54</f>
        <v>302-3345</v>
      </c>
      <c r="C199" s="54" t="str">
        <f>Source!G54</f>
        <v>Трубопроводы напорные из полипропилена PPRS с гильзами и креплениями для холодного и горячего водоснабжения PN20 SDR 6, диаметром 25 мм, толщина стенки 4,2 мм</v>
      </c>
      <c r="D199" s="55" t="str">
        <f>Source!H54</f>
        <v>1 м</v>
      </c>
      <c r="E199" s="56">
        <f>Source!I54</f>
        <v>16.128</v>
      </c>
      <c r="F199" s="57">
        <f>Source!AK54</f>
        <v>41.76</v>
      </c>
      <c r="G199" s="58" t="s">
        <v>6</v>
      </c>
      <c r="H199" s="59">
        <f>ROUND(Source!AC54*Source!I54,2)+ROUND(Source!AD54*Source!I54,2)+ROUND(Source!AF54*Source!I54,2)</f>
        <v>673.51</v>
      </c>
      <c r="I199" s="60"/>
      <c r="J199" s="60">
        <f>IF(Source!BC54&lt;&gt;0,Source!BC54,1)</f>
        <v>2.15</v>
      </c>
      <c r="K199" s="59">
        <f>Source!O54</f>
        <v>1448.04</v>
      </c>
      <c r="L199" s="61"/>
      <c r="S199">
        <f>ROUND((Source!FX54/100)*((ROUND(Source!AF54*Source!I54,2)+ROUND(Source!AE54*Source!I54,2))),2)</f>
        <v>0</v>
      </c>
      <c r="T199">
        <f>Source!X54</f>
        <v>0</v>
      </c>
      <c r="U199">
        <f>ROUND((Source!FY54/100)*((ROUND(Source!AF54*Source!I54,2)+ROUND(Source!AE54*Source!I54,2))),2)</f>
        <v>0</v>
      </c>
      <c r="V199">
        <f>Source!Y54</f>
        <v>0</v>
      </c>
      <c r="W199">
        <f>IF(Source!BI54&lt;=1,H199,0)</f>
        <v>673.51</v>
      </c>
      <c r="X199">
        <f>IF(Source!BI54=2,H199,0)</f>
        <v>0</v>
      </c>
      <c r="Y199">
        <f>IF(Source!BI54=3,H199,0)</f>
        <v>0</v>
      </c>
      <c r="Z199">
        <f>IF(Source!BI54=4,H199,0)</f>
        <v>0</v>
      </c>
    </row>
    <row r="200" spans="7:26" ht="15">
      <c r="G200" s="51">
        <f>H192+H193+H195+H196+H197+SUM(H199:H199)</f>
        <v>1103.99</v>
      </c>
      <c r="H200" s="51"/>
      <c r="J200" s="51">
        <f>K192+K193+K195+K196+K197+SUM(K199:K199)</f>
        <v>12926.34</v>
      </c>
      <c r="K200" s="51"/>
      <c r="L200" s="52">
        <f>Source!U53</f>
        <v>14.986799999999999</v>
      </c>
      <c r="O200" s="50">
        <f>G200</f>
        <v>1103.99</v>
      </c>
      <c r="P200" s="50">
        <f>J200</f>
        <v>12926.34</v>
      </c>
      <c r="Q200" s="50">
        <f>L200</f>
        <v>14.986799999999999</v>
      </c>
      <c r="W200">
        <f>IF(Source!BI53&lt;=1,H192+H193+H195+H196+H197,0)</f>
        <v>430.48</v>
      </c>
      <c r="X200">
        <f>IF(Source!BI53=2,H192+H193+H195+H196+H197,0)</f>
        <v>0</v>
      </c>
      <c r="Y200">
        <f>IF(Source!BI53=3,H192+H193+H195+H196+H197,0)</f>
        <v>0</v>
      </c>
      <c r="Z200">
        <f>IF(Source!BI53=4,H192+H193+H195+H196+H197,0)</f>
        <v>0</v>
      </c>
    </row>
    <row r="201" spans="1:22" ht="42.75">
      <c r="A201" s="37" t="str">
        <f>Source!E55</f>
        <v>16</v>
      </c>
      <c r="B201" s="38" t="str">
        <f>Source!F55</f>
        <v>16-04-001-1</v>
      </c>
      <c r="C201" s="38" t="str">
        <f>Source!G55</f>
        <v>Прокладка трубопроводов канализации из полиэтиленовых труб высокой плотности диаметром 50 мм</v>
      </c>
      <c r="D201" s="39" t="str">
        <f>Source!H55</f>
        <v>100 м трубопровода</v>
      </c>
      <c r="E201" s="10">
        <f>Source!I55</f>
        <v>0.02</v>
      </c>
      <c r="F201" s="41">
        <f>IF(Source!AK55&lt;&gt;0,Source!AK55,Source!AL55+Source!AM55+Source!AO55)</f>
        <v>4623.61</v>
      </c>
      <c r="G201" s="40"/>
      <c r="H201" s="42"/>
      <c r="I201" s="40" t="str">
        <f>Source!BO55</f>
        <v>16-04-001-1</v>
      </c>
      <c r="J201" s="40"/>
      <c r="K201" s="42"/>
      <c r="L201" s="43"/>
      <c r="S201">
        <f>ROUND((Source!FX55/100)*((ROUND(Source!AF55*Source!I55,2)+ROUND(Source!AE55*Source!I55,2))),2)</f>
        <v>11.83</v>
      </c>
      <c r="T201">
        <f>Source!X55</f>
        <v>376.52</v>
      </c>
      <c r="U201">
        <f>ROUND((Source!FY55/100)*((ROUND(Source!AF55*Source!I55,2)+ROUND(Source!AE55*Source!I55,2))),2)</f>
        <v>9.31</v>
      </c>
      <c r="V201">
        <f>Source!Y55</f>
        <v>292.85</v>
      </c>
    </row>
    <row r="202" ht="12.75">
      <c r="C202" s="44" t="str">
        <f>"Объем: "&amp;Source!I55&amp;"=2/"&amp;"100"</f>
        <v>Объем: 0,02=2/100</v>
      </c>
    </row>
    <row r="203" spans="1:18" ht="14.25">
      <c r="A203" s="37"/>
      <c r="B203" s="38"/>
      <c r="C203" s="38" t="s">
        <v>742</v>
      </c>
      <c r="D203" s="39"/>
      <c r="E203" s="10"/>
      <c r="F203" s="41">
        <f>Source!AO55</f>
        <v>637.26</v>
      </c>
      <c r="G203" s="40" t="str">
        <f>Source!DG55</f>
        <v>)*1,15</v>
      </c>
      <c r="H203" s="42">
        <f>ROUND(Source!AF55*Source!I55,2)</f>
        <v>14.66</v>
      </c>
      <c r="I203" s="40"/>
      <c r="J203" s="40">
        <f>IF(Source!BA55&lt;&gt;0,Source!BA55,1)</f>
        <v>31.7</v>
      </c>
      <c r="K203" s="42">
        <f>Source!S55</f>
        <v>464.63</v>
      </c>
      <c r="L203" s="43"/>
      <c r="R203">
        <f>H203</f>
        <v>14.66</v>
      </c>
    </row>
    <row r="204" spans="1:12" ht="14.25">
      <c r="A204" s="37"/>
      <c r="B204" s="38"/>
      <c r="C204" s="38" t="s">
        <v>234</v>
      </c>
      <c r="D204" s="39"/>
      <c r="E204" s="10"/>
      <c r="F204" s="41">
        <f>Source!AM55</f>
        <v>2.86</v>
      </c>
      <c r="G204" s="40" t="str">
        <f>Source!DE55</f>
        <v>)*1,25</v>
      </c>
      <c r="H204" s="42">
        <f>ROUND(Source!AD55*Source!I55,2)</f>
        <v>0.07</v>
      </c>
      <c r="I204" s="40"/>
      <c r="J204" s="40">
        <f>IF(Source!BB55&lt;&gt;0,Source!BB55,1)</f>
        <v>9.98</v>
      </c>
      <c r="K204" s="42">
        <f>Source!Q55</f>
        <v>0.71</v>
      </c>
      <c r="L204" s="43"/>
    </row>
    <row r="205" spans="1:18" ht="14.25">
      <c r="A205" s="37"/>
      <c r="B205" s="38"/>
      <c r="C205" s="38" t="s">
        <v>743</v>
      </c>
      <c r="D205" s="39"/>
      <c r="E205" s="10"/>
      <c r="F205" s="41">
        <f>Source!AN55</f>
        <v>0.27</v>
      </c>
      <c r="G205" s="40" t="str">
        <f>Source!DF55</f>
        <v>)*1,25</v>
      </c>
      <c r="H205" s="45">
        <f>ROUND(Source!AE55*Source!I55,2)</f>
        <v>0.01</v>
      </c>
      <c r="I205" s="40"/>
      <c r="J205" s="40">
        <f>IF(Source!BS55&lt;&gt;0,Source!BS55,1)</f>
        <v>31.7</v>
      </c>
      <c r="K205" s="45">
        <f>Source!R55</f>
        <v>0.21</v>
      </c>
      <c r="L205" s="43"/>
      <c r="R205">
        <f>H205</f>
        <v>0.01</v>
      </c>
    </row>
    <row r="206" spans="1:12" ht="14.25">
      <c r="A206" s="37"/>
      <c r="B206" s="38"/>
      <c r="C206" s="38" t="s">
        <v>744</v>
      </c>
      <c r="D206" s="39"/>
      <c r="E206" s="10"/>
      <c r="F206" s="41">
        <f>Source!AL55</f>
        <v>3983.49</v>
      </c>
      <c r="G206" s="40">
        <f>Source!DD55</f>
      </c>
      <c r="H206" s="42">
        <f>ROUND(Source!AC55*Source!I55,2)</f>
        <v>79.67</v>
      </c>
      <c r="I206" s="40"/>
      <c r="J206" s="40">
        <f>IF(Source!BC55&lt;&gt;0,Source!BC55,1)</f>
        <v>4.6</v>
      </c>
      <c r="K206" s="42">
        <f>Source!P55</f>
        <v>366.48</v>
      </c>
      <c r="L206" s="43"/>
    </row>
    <row r="207" spans="1:12" ht="14.25">
      <c r="A207" s="37"/>
      <c r="B207" s="38"/>
      <c r="C207" s="38" t="s">
        <v>745</v>
      </c>
      <c r="D207" s="39" t="s">
        <v>746</v>
      </c>
      <c r="E207" s="10">
        <f>Source!BZ55</f>
        <v>128</v>
      </c>
      <c r="F207" s="46" t="str">
        <f>CONCATENATE(" )",Source!DL55,Source!FT55,"=",Source!FX55)</f>
        <v> )*0,9*0,7=80,64</v>
      </c>
      <c r="G207" s="19"/>
      <c r="H207" s="42">
        <f>SUM(S201:S209)</f>
        <v>11.83</v>
      </c>
      <c r="I207" s="47"/>
      <c r="J207" s="36">
        <f>Source!AT55</f>
        <v>81</v>
      </c>
      <c r="K207" s="42">
        <f>SUM(T201:T209)</f>
        <v>376.52</v>
      </c>
      <c r="L207" s="43"/>
    </row>
    <row r="208" spans="1:12" ht="14.25">
      <c r="A208" s="37"/>
      <c r="B208" s="38"/>
      <c r="C208" s="38" t="s">
        <v>747</v>
      </c>
      <c r="D208" s="39" t="s">
        <v>746</v>
      </c>
      <c r="E208" s="10">
        <f>Source!CA55</f>
        <v>83</v>
      </c>
      <c r="F208" s="46" t="str">
        <f>CONCATENATE(" )",Source!DM55,Source!FU55,"=",Source!FY55)</f>
        <v> )*0,85*0,9=63,495</v>
      </c>
      <c r="G208" s="19"/>
      <c r="H208" s="42">
        <f>SUM(U201:U209)</f>
        <v>9.31</v>
      </c>
      <c r="I208" s="47"/>
      <c r="J208" s="36">
        <f>Source!AU55</f>
        <v>63</v>
      </c>
      <c r="K208" s="42">
        <f>SUM(V201:V209)</f>
        <v>292.85</v>
      </c>
      <c r="L208" s="43"/>
    </row>
    <row r="209" spans="1:12" ht="14.25">
      <c r="A209" s="53"/>
      <c r="B209" s="54"/>
      <c r="C209" s="54" t="s">
        <v>748</v>
      </c>
      <c r="D209" s="55" t="s">
        <v>749</v>
      </c>
      <c r="E209" s="56">
        <f>Source!AQ55</f>
        <v>64.24</v>
      </c>
      <c r="F209" s="57"/>
      <c r="G209" s="60" t="str">
        <f>Source!DI55</f>
        <v>)*1,15</v>
      </c>
      <c r="H209" s="59"/>
      <c r="I209" s="60"/>
      <c r="J209" s="60"/>
      <c r="K209" s="59"/>
      <c r="L209" s="62">
        <f>Source!U55</f>
        <v>1.47752</v>
      </c>
    </row>
    <row r="210" spans="7:26" ht="15">
      <c r="G210" s="51">
        <f>H203+H204+H206+H207+H208</f>
        <v>115.54</v>
      </c>
      <c r="H210" s="51"/>
      <c r="J210" s="51">
        <f>K203+K204+K206+K207+K208</f>
        <v>1501.19</v>
      </c>
      <c r="K210" s="51"/>
      <c r="L210" s="52">
        <f>Source!U55</f>
        <v>1.47752</v>
      </c>
      <c r="O210" s="50">
        <f>G210</f>
        <v>115.54</v>
      </c>
      <c r="P210" s="50">
        <f>J210</f>
        <v>1501.19</v>
      </c>
      <c r="Q210" s="50">
        <f>L210</f>
        <v>1.47752</v>
      </c>
      <c r="W210">
        <f>IF(Source!BI55&lt;=1,H203+H204+H206+H207+H208,0)</f>
        <v>115.54</v>
      </c>
      <c r="X210">
        <f>IF(Source!BI55=2,H203+H204+H206+H207+H208,0)</f>
        <v>0</v>
      </c>
      <c r="Y210">
        <f>IF(Source!BI55=3,H203+H204+H206+H207+H208,0)</f>
        <v>0</v>
      </c>
      <c r="Z210">
        <f>IF(Source!BI55=4,H203+H204+H206+H207+H208,0)</f>
        <v>0</v>
      </c>
    </row>
    <row r="211" spans="1:22" ht="28.5">
      <c r="A211" s="37" t="str">
        <f>Source!E56</f>
        <v>17</v>
      </c>
      <c r="B211" s="38" t="str">
        <f>Source!F56</f>
        <v>16-05-001-1</v>
      </c>
      <c r="C211" s="38" t="str">
        <f>Source!G56</f>
        <v>Установка  шаровых  кранов  диаметром до 25 мм</v>
      </c>
      <c r="D211" s="39" t="str">
        <f>Source!H56</f>
        <v>1  ШТ.</v>
      </c>
      <c r="E211" s="10">
        <f>Source!I56</f>
        <v>7</v>
      </c>
      <c r="F211" s="41">
        <f>IF(Source!AK56&lt;&gt;0,Source!AK56,Source!AL56+Source!AM56+Source!AO56)</f>
        <v>75.85</v>
      </c>
      <c r="G211" s="40"/>
      <c r="H211" s="42"/>
      <c r="I211" s="40" t="str">
        <f>Source!BO56</f>
        <v>16-05-001-1</v>
      </c>
      <c r="J211" s="40"/>
      <c r="K211" s="42"/>
      <c r="L211" s="43"/>
      <c r="S211">
        <f>ROUND((Source!FX56/100)*((ROUND(Source!AF56*Source!I56,2)+ROUND(Source!AE56*Source!I56,2))),2)</f>
        <v>86.53</v>
      </c>
      <c r="T211">
        <f>Source!X56</f>
        <v>2755.31</v>
      </c>
      <c r="U211">
        <f>ROUND((Source!FY56/100)*((ROUND(Source!AF56*Source!I56,2)+ROUND(Source!AE56*Source!I56,2))),2)</f>
        <v>68.14</v>
      </c>
      <c r="V211">
        <f>Source!Y56</f>
        <v>2143.02</v>
      </c>
    </row>
    <row r="212" spans="1:18" ht="14.25">
      <c r="A212" s="37"/>
      <c r="B212" s="38"/>
      <c r="C212" s="38" t="s">
        <v>742</v>
      </c>
      <c r="D212" s="39"/>
      <c r="E212" s="10"/>
      <c r="F212" s="41">
        <f>Source!AO56</f>
        <v>13.33</v>
      </c>
      <c r="G212" s="40" t="str">
        <f>Source!DG56</f>
        <v>)*1,15</v>
      </c>
      <c r="H212" s="42">
        <f>ROUND(Source!AF56*Source!I56,2)</f>
        <v>107.31</v>
      </c>
      <c r="I212" s="40"/>
      <c r="J212" s="40">
        <f>IF(Source!BA56&lt;&gt;0,Source!BA56,1)</f>
        <v>31.7</v>
      </c>
      <c r="K212" s="42">
        <f>Source!S56</f>
        <v>3401.62</v>
      </c>
      <c r="L212" s="43"/>
      <c r="R212">
        <f>H212</f>
        <v>107.31</v>
      </c>
    </row>
    <row r="213" spans="1:12" ht="14.25">
      <c r="A213" s="37"/>
      <c r="B213" s="38"/>
      <c r="C213" s="38" t="s">
        <v>234</v>
      </c>
      <c r="D213" s="39"/>
      <c r="E213" s="10"/>
      <c r="F213" s="41">
        <f>Source!AM56</f>
        <v>3.71</v>
      </c>
      <c r="G213" s="40" t="str">
        <f>Source!DE56</f>
        <v>)*1,25</v>
      </c>
      <c r="H213" s="42">
        <f>ROUND(Source!AD56*Source!I56,2)</f>
        <v>32.46</v>
      </c>
      <c r="I213" s="40"/>
      <c r="J213" s="40">
        <f>IF(Source!BB56&lt;&gt;0,Source!BB56,1)</f>
        <v>8.14</v>
      </c>
      <c r="K213" s="42">
        <f>Source!Q56</f>
        <v>264.24</v>
      </c>
      <c r="L213" s="43"/>
    </row>
    <row r="214" spans="1:12" ht="14.25">
      <c r="A214" s="37"/>
      <c r="B214" s="38"/>
      <c r="C214" s="38" t="s">
        <v>744</v>
      </c>
      <c r="D214" s="39"/>
      <c r="E214" s="10"/>
      <c r="F214" s="41">
        <f>Source!AL56</f>
        <v>58.81</v>
      </c>
      <c r="G214" s="40">
        <f>Source!DD56</f>
      </c>
      <c r="H214" s="42">
        <f>ROUND(Source!AC56*Source!I56,2)</f>
        <v>411.67</v>
      </c>
      <c r="I214" s="40"/>
      <c r="J214" s="40">
        <f>IF(Source!BC56&lt;&gt;0,Source!BC56,1)</f>
        <v>5.58</v>
      </c>
      <c r="K214" s="42">
        <f>Source!P56</f>
        <v>2297.12</v>
      </c>
      <c r="L214" s="43"/>
    </row>
    <row r="215" spans="1:12" ht="14.25">
      <c r="A215" s="37"/>
      <c r="B215" s="38"/>
      <c r="C215" s="38" t="s">
        <v>745</v>
      </c>
      <c r="D215" s="39" t="s">
        <v>746</v>
      </c>
      <c r="E215" s="10">
        <f>Source!BZ56</f>
        <v>128</v>
      </c>
      <c r="F215" s="46" t="str">
        <f>CONCATENATE(" )",Source!DL56,Source!FT56,"=",Source!FX56)</f>
        <v> )*0,9*0,7=80,64</v>
      </c>
      <c r="G215" s="19"/>
      <c r="H215" s="42">
        <f>SUM(S211:S219)</f>
        <v>86.53</v>
      </c>
      <c r="I215" s="47"/>
      <c r="J215" s="36">
        <f>Source!AT56</f>
        <v>81</v>
      </c>
      <c r="K215" s="42">
        <f>SUM(T211:T219)</f>
        <v>2755.31</v>
      </c>
      <c r="L215" s="43"/>
    </row>
    <row r="216" spans="1:12" ht="14.25">
      <c r="A216" s="37"/>
      <c r="B216" s="38"/>
      <c r="C216" s="38" t="s">
        <v>747</v>
      </c>
      <c r="D216" s="39" t="s">
        <v>746</v>
      </c>
      <c r="E216" s="10">
        <f>Source!CA56</f>
        <v>83</v>
      </c>
      <c r="F216" s="46" t="str">
        <f>CONCATENATE(" )",Source!DM56,Source!FU56,"=",Source!FY56)</f>
        <v> )*0,85*0,9=63,495</v>
      </c>
      <c r="G216" s="19"/>
      <c r="H216" s="42">
        <f>SUM(U211:U219)</f>
        <v>68.14</v>
      </c>
      <c r="I216" s="47"/>
      <c r="J216" s="36">
        <f>Source!AU56</f>
        <v>63</v>
      </c>
      <c r="K216" s="42">
        <f>SUM(V211:V219)</f>
        <v>2143.02</v>
      </c>
      <c r="L216" s="43"/>
    </row>
    <row r="217" spans="1:12" ht="14.25">
      <c r="A217" s="37"/>
      <c r="B217" s="38"/>
      <c r="C217" s="38" t="s">
        <v>748</v>
      </c>
      <c r="D217" s="39" t="s">
        <v>749</v>
      </c>
      <c r="E217" s="10">
        <f>Source!AQ56</f>
        <v>1.47</v>
      </c>
      <c r="F217" s="41"/>
      <c r="G217" s="40" t="str">
        <f>Source!DI56</f>
        <v>)*1,15</v>
      </c>
      <c r="H217" s="42"/>
      <c r="I217" s="40"/>
      <c r="J217" s="40"/>
      <c r="K217" s="42"/>
      <c r="L217" s="48">
        <f>Source!U56</f>
        <v>11.833499999999999</v>
      </c>
    </row>
    <row r="218" spans="1:26" ht="82.5">
      <c r="A218" s="37" t="str">
        <f>Source!E57</f>
        <v>17,1</v>
      </c>
      <c r="B218" s="38" t="str">
        <f>Source!F57</f>
        <v>507-0980</v>
      </c>
      <c r="C218" s="38" t="s">
        <v>753</v>
      </c>
      <c r="D218" s="39" t="str">
        <f>Source!H57</f>
        <v>шт.</v>
      </c>
      <c r="E218" s="10">
        <f>Source!I57</f>
        <v>-14</v>
      </c>
      <c r="F218" s="41">
        <f>Source!AK57</f>
        <v>16.8</v>
      </c>
      <c r="G218" s="49" t="s">
        <v>6</v>
      </c>
      <c r="H218" s="42">
        <f>ROUND(Source!AC57*Source!I57,2)+ROUND(Source!AD57*Source!I57,2)+ROUND(Source!AF57*Source!I57,2)</f>
        <v>-235.2</v>
      </c>
      <c r="I218" s="40"/>
      <c r="J218" s="40">
        <f>IF(Source!BC57&lt;&gt;0,Source!BC57,1)</f>
        <v>6.34</v>
      </c>
      <c r="K218" s="42">
        <f>Source!O57</f>
        <v>-1491.17</v>
      </c>
      <c r="L218" s="43"/>
      <c r="S218">
        <f>ROUND((Source!FX57/100)*((ROUND(Source!AF57*Source!I57,2)+ROUND(Source!AE57*Source!I57,2))),2)</f>
        <v>0</v>
      </c>
      <c r="T218">
        <f>Source!X57</f>
        <v>0</v>
      </c>
      <c r="U218">
        <f>ROUND((Source!FY57/100)*((ROUND(Source!AF57*Source!I57,2)+ROUND(Source!AE57*Source!I57,2))),2)</f>
        <v>0</v>
      </c>
      <c r="V218">
        <f>Source!Y57</f>
        <v>0</v>
      </c>
      <c r="W218">
        <f>IF(Source!BI57&lt;=1,H218,0)</f>
        <v>-235.2</v>
      </c>
      <c r="X218">
        <f>IF(Source!BI57=2,H218,0)</f>
        <v>0</v>
      </c>
      <c r="Y218">
        <f>IF(Source!BI57=3,H218,0)</f>
        <v>0</v>
      </c>
      <c r="Z218">
        <f>IF(Source!BI57=4,H218,0)</f>
        <v>0</v>
      </c>
    </row>
    <row r="219" spans="1:26" ht="14.25">
      <c r="A219" s="53" t="str">
        <f>Source!E58</f>
        <v>17,2</v>
      </c>
      <c r="B219" s="54" t="str">
        <f>Source!F58</f>
        <v>302-1485</v>
      </c>
      <c r="C219" s="54" t="str">
        <f>Source!G58</f>
        <v>Кран шаровой В-В размером 1"</v>
      </c>
      <c r="D219" s="55" t="str">
        <f>Source!H58</f>
        <v>шт.</v>
      </c>
      <c r="E219" s="56">
        <f>Source!I58</f>
        <v>7</v>
      </c>
      <c r="F219" s="57">
        <f>Source!AK58</f>
        <v>120.2</v>
      </c>
      <c r="G219" s="58" t="s">
        <v>6</v>
      </c>
      <c r="H219" s="59">
        <f>ROUND(Source!AC58*Source!I58,2)+ROUND(Source!AD58*Source!I58,2)+ROUND(Source!AF58*Source!I58,2)</f>
        <v>841.4</v>
      </c>
      <c r="I219" s="60"/>
      <c r="J219" s="60">
        <f>IF(Source!BC58&lt;&gt;0,Source!BC58,1)</f>
        <v>4.52</v>
      </c>
      <c r="K219" s="59">
        <f>Source!O58</f>
        <v>3803.13</v>
      </c>
      <c r="L219" s="61"/>
      <c r="S219">
        <f>ROUND((Source!FX58/100)*((ROUND(Source!AF58*Source!I58,2)+ROUND(Source!AE58*Source!I58,2))),2)</f>
        <v>0</v>
      </c>
      <c r="T219">
        <f>Source!X58</f>
        <v>0</v>
      </c>
      <c r="U219">
        <f>ROUND((Source!FY58/100)*((ROUND(Source!AF58*Source!I58,2)+ROUND(Source!AE58*Source!I58,2))),2)</f>
        <v>0</v>
      </c>
      <c r="V219">
        <f>Source!Y58</f>
        <v>0</v>
      </c>
      <c r="W219">
        <f>IF(Source!BI58&lt;=1,H219,0)</f>
        <v>841.4</v>
      </c>
      <c r="X219">
        <f>IF(Source!BI58=2,H219,0)</f>
        <v>0</v>
      </c>
      <c r="Y219">
        <f>IF(Source!BI58=3,H219,0)</f>
        <v>0</v>
      </c>
      <c r="Z219">
        <f>IF(Source!BI58=4,H219,0)</f>
        <v>0</v>
      </c>
    </row>
    <row r="220" spans="7:26" ht="15">
      <c r="G220" s="51">
        <f>H212+H213+H214+H215+H216+SUM(H218:H219)</f>
        <v>1312.31</v>
      </c>
      <c r="H220" s="51"/>
      <c r="J220" s="51">
        <f>K212+K213+K214+K215+K216+SUM(K218:K219)</f>
        <v>13173.27</v>
      </c>
      <c r="K220" s="51"/>
      <c r="L220" s="52">
        <f>Source!U56</f>
        <v>11.833499999999999</v>
      </c>
      <c r="O220" s="50">
        <f>G220</f>
        <v>1312.31</v>
      </c>
      <c r="P220" s="50">
        <f>J220</f>
        <v>13173.27</v>
      </c>
      <c r="Q220" s="50">
        <f>L220</f>
        <v>11.833499999999999</v>
      </c>
      <c r="W220">
        <f>IF(Source!BI56&lt;=1,H212+H213+H214+H215+H216,0)</f>
        <v>706.11</v>
      </c>
      <c r="X220">
        <f>IF(Source!BI56=2,H212+H213+H214+H215+H216,0)</f>
        <v>0</v>
      </c>
      <c r="Y220">
        <f>IF(Source!BI56=3,H212+H213+H214+H215+H216,0)</f>
        <v>0</v>
      </c>
      <c r="Z220">
        <f>IF(Source!BI56=4,H212+H213+H214+H215+H216,0)</f>
        <v>0</v>
      </c>
    </row>
    <row r="221" spans="1:22" ht="57">
      <c r="A221" s="37" t="str">
        <f>Source!E59</f>
        <v>18</v>
      </c>
      <c r="B221" s="38" t="str">
        <f>Source!F59</f>
        <v>18-02-004-2</v>
      </c>
      <c r="C221" s="38" t="str">
        <f>Source!G59</f>
        <v>Монтаж водонагревателей электрических накопительных (емкостных) объемом: свыше 50 до 100 л</v>
      </c>
      <c r="D221" s="39" t="str">
        <f>Source!H59</f>
        <v>шт.</v>
      </c>
      <c r="E221" s="10">
        <f>Source!I59</f>
        <v>1</v>
      </c>
      <c r="F221" s="41">
        <f>IF(Source!AK59&lt;&gt;0,Source!AK59,Source!AL59+Source!AM59+Source!AO59)</f>
        <v>8.39</v>
      </c>
      <c r="G221" s="40"/>
      <c r="H221" s="42"/>
      <c r="I221" s="40" t="str">
        <f>Source!BO59</f>
        <v>18-02-004-2</v>
      </c>
      <c r="J221" s="40"/>
      <c r="K221" s="42"/>
      <c r="L221" s="43"/>
      <c r="S221">
        <f>ROUND((Source!FX59/100)*((ROUND(Source!AF59*Source!I59,2)+ROUND(Source!AE59*Source!I59,2))),2)</f>
        <v>6.88</v>
      </c>
      <c r="T221">
        <f>Source!X59</f>
        <v>219.11</v>
      </c>
      <c r="U221">
        <f>ROUND((Source!FY59/100)*((ROUND(Source!AF59*Source!I59,2)+ROUND(Source!AE59*Source!I59,2))),2)</f>
        <v>5.42</v>
      </c>
      <c r="V221">
        <f>Source!Y59</f>
        <v>170.42</v>
      </c>
    </row>
    <row r="222" spans="1:18" ht="14.25">
      <c r="A222" s="37"/>
      <c r="B222" s="38"/>
      <c r="C222" s="38" t="s">
        <v>742</v>
      </c>
      <c r="D222" s="39"/>
      <c r="E222" s="10"/>
      <c r="F222" s="41">
        <f>Source!AO59</f>
        <v>7.42</v>
      </c>
      <c r="G222" s="40" t="str">
        <f>Source!DG59</f>
        <v>)*1,15</v>
      </c>
      <c r="H222" s="42">
        <f>ROUND(Source!AF59*Source!I59,2)</f>
        <v>8.53</v>
      </c>
      <c r="I222" s="40"/>
      <c r="J222" s="40">
        <f>IF(Source!BA59&lt;&gt;0,Source!BA59,1)</f>
        <v>31.7</v>
      </c>
      <c r="K222" s="42">
        <f>Source!S59</f>
        <v>270.5</v>
      </c>
      <c r="L222" s="43"/>
      <c r="R222">
        <f>H222</f>
        <v>8.53</v>
      </c>
    </row>
    <row r="223" spans="1:12" ht="14.25">
      <c r="A223" s="37"/>
      <c r="B223" s="38"/>
      <c r="C223" s="38" t="s">
        <v>234</v>
      </c>
      <c r="D223" s="39"/>
      <c r="E223" s="10"/>
      <c r="F223" s="41">
        <f>Source!AM59</f>
        <v>0.08</v>
      </c>
      <c r="G223" s="40" t="str">
        <f>Source!DE59</f>
        <v>)*1,25</v>
      </c>
      <c r="H223" s="42">
        <f>ROUND(Source!AD59*Source!I59,2)</f>
        <v>0.1</v>
      </c>
      <c r="I223" s="40"/>
      <c r="J223" s="40">
        <f>IF(Source!BB59&lt;&gt;0,Source!BB59,1)</f>
        <v>1</v>
      </c>
      <c r="K223" s="42">
        <f>Source!Q59</f>
        <v>0.1</v>
      </c>
      <c r="L223" s="43"/>
    </row>
    <row r="224" spans="1:12" ht="14.25">
      <c r="A224" s="37"/>
      <c r="B224" s="38"/>
      <c r="C224" s="38" t="s">
        <v>744</v>
      </c>
      <c r="D224" s="39"/>
      <c r="E224" s="10"/>
      <c r="F224" s="41">
        <f>Source!AL59</f>
        <v>0.89</v>
      </c>
      <c r="G224" s="40">
        <f>Source!DD59</f>
      </c>
      <c r="H224" s="42">
        <f>ROUND(Source!AC59*Source!I59,2)</f>
        <v>0.89</v>
      </c>
      <c r="I224" s="40"/>
      <c r="J224" s="40">
        <f>IF(Source!BC59&lt;&gt;0,Source!BC59,1)</f>
        <v>1.72</v>
      </c>
      <c r="K224" s="42">
        <f>Source!P59</f>
        <v>1.53</v>
      </c>
      <c r="L224" s="43"/>
    </row>
    <row r="225" spans="1:12" ht="14.25">
      <c r="A225" s="37"/>
      <c r="B225" s="38"/>
      <c r="C225" s="38" t="s">
        <v>745</v>
      </c>
      <c r="D225" s="39" t="s">
        <v>746</v>
      </c>
      <c r="E225" s="10">
        <f>Source!BZ59</f>
        <v>128</v>
      </c>
      <c r="F225" s="46" t="str">
        <f>CONCATENATE(" )",Source!DL59,Source!FT59,"=",Source!FX59)</f>
        <v> )*0,9*0,7=80,64</v>
      </c>
      <c r="G225" s="19"/>
      <c r="H225" s="42">
        <f>SUM(S221:S229)</f>
        <v>6.88</v>
      </c>
      <c r="I225" s="47"/>
      <c r="J225" s="36">
        <f>Source!AT59</f>
        <v>81</v>
      </c>
      <c r="K225" s="42">
        <f>SUM(T221:T229)</f>
        <v>219.11</v>
      </c>
      <c r="L225" s="43"/>
    </row>
    <row r="226" spans="1:12" ht="14.25">
      <c r="A226" s="37"/>
      <c r="B226" s="38"/>
      <c r="C226" s="38" t="s">
        <v>747</v>
      </c>
      <c r="D226" s="39" t="s">
        <v>746</v>
      </c>
      <c r="E226" s="10">
        <f>Source!CA59</f>
        <v>83</v>
      </c>
      <c r="F226" s="46" t="str">
        <f>CONCATENATE(" )",Source!DM59,Source!FU59,"=",Source!FY59)</f>
        <v> )*0,85*0,9=63,495</v>
      </c>
      <c r="G226" s="19"/>
      <c r="H226" s="42">
        <f>SUM(U221:U229)</f>
        <v>5.42</v>
      </c>
      <c r="I226" s="47"/>
      <c r="J226" s="36">
        <f>Source!AU59</f>
        <v>63</v>
      </c>
      <c r="K226" s="42">
        <f>SUM(V221:V229)</f>
        <v>170.42</v>
      </c>
      <c r="L226" s="43"/>
    </row>
    <row r="227" spans="1:12" ht="14.25">
      <c r="A227" s="37"/>
      <c r="B227" s="38"/>
      <c r="C227" s="38" t="s">
        <v>748</v>
      </c>
      <c r="D227" s="39" t="s">
        <v>749</v>
      </c>
      <c r="E227" s="10">
        <f>Source!AQ59</f>
        <v>0.87</v>
      </c>
      <c r="F227" s="41"/>
      <c r="G227" s="40" t="str">
        <f>Source!DI59</f>
        <v>)*1,15</v>
      </c>
      <c r="H227" s="42"/>
      <c r="I227" s="40"/>
      <c r="J227" s="40"/>
      <c r="K227" s="42"/>
      <c r="L227" s="48">
        <f>Source!U59</f>
        <v>1.0005</v>
      </c>
    </row>
    <row r="228" spans="1:26" ht="85.5">
      <c r="A228" s="37" t="str">
        <f>Source!E60</f>
        <v>18,1</v>
      </c>
      <c r="B228" s="38" t="str">
        <f>Source!F60</f>
        <v>302-3344</v>
      </c>
      <c r="C228" s="38" t="str">
        <f>Source!G60</f>
        <v>Трубопроводы напорные из полипропилена PPRS с гильзами и креплениями для холодного и горячего водоснабжения PN20 SDR 6, диаметром 20 мм, толщина стенки 3,4 мм</v>
      </c>
      <c r="D228" s="39" t="str">
        <f>Source!H60</f>
        <v>1 м</v>
      </c>
      <c r="E228" s="10">
        <f>Source!I60</f>
        <v>1.5</v>
      </c>
      <c r="F228" s="41">
        <f>Source!AK60</f>
        <v>30.92</v>
      </c>
      <c r="G228" s="49" t="s">
        <v>6</v>
      </c>
      <c r="H228" s="42">
        <f>ROUND(Source!AC60*Source!I60,2)+ROUND(Source!AD60*Source!I60,2)+ROUND(Source!AF60*Source!I60,2)</f>
        <v>46.38</v>
      </c>
      <c r="I228" s="40"/>
      <c r="J228" s="40">
        <f>IF(Source!BC60&lt;&gt;0,Source!BC60,1)</f>
        <v>2.02</v>
      </c>
      <c r="K228" s="42">
        <f>Source!O60</f>
        <v>93.69</v>
      </c>
      <c r="L228" s="43"/>
      <c r="S228">
        <f>ROUND((Source!FX60/100)*((ROUND(Source!AF60*Source!I60,2)+ROUND(Source!AE60*Source!I60,2))),2)</f>
        <v>0</v>
      </c>
      <c r="T228">
        <f>Source!X60</f>
        <v>0</v>
      </c>
      <c r="U228">
        <f>ROUND((Source!FY60/100)*((ROUND(Source!AF60*Source!I60,2)+ROUND(Source!AE60*Source!I60,2))),2)</f>
        <v>0</v>
      </c>
      <c r="V228">
        <f>Source!Y60</f>
        <v>0</v>
      </c>
      <c r="W228">
        <f>IF(Source!BI60&lt;=1,H228,0)</f>
        <v>46.38</v>
      </c>
      <c r="X228">
        <f>IF(Source!BI60=2,H228,0)</f>
        <v>0</v>
      </c>
      <c r="Y228">
        <f>IF(Source!BI60=3,H228,0)</f>
        <v>0</v>
      </c>
      <c r="Z228">
        <f>IF(Source!BI60=4,H228,0)</f>
        <v>0</v>
      </c>
    </row>
    <row r="229" spans="1:26" ht="54">
      <c r="A229" s="53" t="str">
        <f>Source!E61</f>
        <v>18,2</v>
      </c>
      <c r="B229" s="54" t="str">
        <f>Source!F61</f>
        <v>Цена поставщика</v>
      </c>
      <c r="C229" s="54" t="s">
        <v>754</v>
      </c>
      <c r="D229" s="55" t="str">
        <f>Source!H61</f>
        <v>ШТ</v>
      </c>
      <c r="E229" s="56">
        <f>Source!I61</f>
        <v>1</v>
      </c>
      <c r="F229" s="57">
        <f>Source!AK61</f>
        <v>19816.79</v>
      </c>
      <c r="G229" s="58" t="s">
        <v>6</v>
      </c>
      <c r="H229" s="59">
        <f>ROUND(Source!AC61*Source!I61,2)+ROUND(Source!AD61*Source!I61,2)+ROUND(Source!AF61*Source!I61,2)</f>
        <v>19816.79</v>
      </c>
      <c r="I229" s="60"/>
      <c r="J229" s="60">
        <f>IF(Source!BC61&lt;&gt;0,Source!BC61,1)</f>
        <v>1</v>
      </c>
      <c r="K229" s="59">
        <f>Source!O61</f>
        <v>19816.79</v>
      </c>
      <c r="L229" s="61"/>
      <c r="S229">
        <f>ROUND((Source!FX61/100)*((ROUND(Source!AF61*Source!I61,2)+ROUND(Source!AE61*Source!I61,2))),2)</f>
        <v>0</v>
      </c>
      <c r="T229">
        <f>Source!X61</f>
        <v>0</v>
      </c>
      <c r="U229">
        <f>ROUND((Source!FY61/100)*((ROUND(Source!AF61*Source!I61,2)+ROUND(Source!AE61*Source!I61,2))),2)</f>
        <v>0</v>
      </c>
      <c r="V229">
        <f>Source!Y61</f>
        <v>0</v>
      </c>
      <c r="W229">
        <f>IF(Source!BI61&lt;=1,H229,0)</f>
        <v>19816.79</v>
      </c>
      <c r="X229">
        <f>IF(Source!BI61=2,H229,0)</f>
        <v>0</v>
      </c>
      <c r="Y229">
        <f>IF(Source!BI61=3,H229,0)</f>
        <v>0</v>
      </c>
      <c r="Z229">
        <f>IF(Source!BI61=4,H229,0)</f>
        <v>0</v>
      </c>
    </row>
    <row r="230" spans="7:26" ht="15">
      <c r="G230" s="51">
        <f>H222+H223+H224+H225+H226+SUM(H228:H229)</f>
        <v>19884.99</v>
      </c>
      <c r="H230" s="51"/>
      <c r="J230" s="51">
        <f>K222+K223+K224+K225+K226+SUM(K228:K229)</f>
        <v>20572.14</v>
      </c>
      <c r="K230" s="51"/>
      <c r="L230" s="52">
        <f>Source!U59</f>
        <v>1.0005</v>
      </c>
      <c r="O230" s="50">
        <f>G230</f>
        <v>19884.99</v>
      </c>
      <c r="P230" s="50">
        <f>J230</f>
        <v>20572.14</v>
      </c>
      <c r="Q230" s="50">
        <f>L230</f>
        <v>1.0005</v>
      </c>
      <c r="W230">
        <f>IF(Source!BI59&lt;=1,H222+H223+H224+H225+H226,0)</f>
        <v>21.82</v>
      </c>
      <c r="X230">
        <f>IF(Source!BI59=2,H222+H223+H224+H225+H226,0)</f>
        <v>0</v>
      </c>
      <c r="Y230">
        <f>IF(Source!BI59=3,H222+H223+H224+H225+H226,0)</f>
        <v>0</v>
      </c>
      <c r="Z230">
        <f>IF(Source!BI59=4,H222+H223+H224+H225+H226,0)</f>
        <v>0</v>
      </c>
    </row>
    <row r="231" spans="1:22" ht="71.25">
      <c r="A231" s="37" t="str">
        <f>Source!E62</f>
        <v>19</v>
      </c>
      <c r="B231" s="38" t="str">
        <f>Source!F62</f>
        <v>м08-03-593-6</v>
      </c>
      <c r="C231" s="38" t="str">
        <f>Source!G62</f>
        <v>Светильник потолочный или настенный с креплением винтами или болтами для помещений с нормальными условиями среды, одноламповый</v>
      </c>
      <c r="D231" s="39" t="str">
        <f>Source!H62</f>
        <v>100 шт.</v>
      </c>
      <c r="E231" s="10">
        <f>Source!I62</f>
        <v>0.02</v>
      </c>
      <c r="F231" s="41">
        <f>IF(Source!AK62&lt;&gt;0,Source!AK62,Source!AL62+Source!AM62+Source!AO62)</f>
        <v>1442.38</v>
      </c>
      <c r="G231" s="40"/>
      <c r="H231" s="42"/>
      <c r="I231" s="40" t="str">
        <f>Source!BO62</f>
        <v>м08-03-593-6</v>
      </c>
      <c r="J231" s="40"/>
      <c r="K231" s="42"/>
      <c r="L231" s="43"/>
      <c r="S231">
        <f>ROUND((Source!FX62/100)*((ROUND(Source!AF62*Source!I62,2)+ROUND(Source!AE62*Source!I62,2))),2)</f>
        <v>9.48</v>
      </c>
      <c r="T231">
        <f>Source!X62</f>
        <v>302.71</v>
      </c>
      <c r="U231">
        <f>ROUND((Source!FY62/100)*((ROUND(Source!AF62*Source!I62,2)+ROUND(Source!AE62*Source!I62,2))),2)</f>
        <v>8.34</v>
      </c>
      <c r="V231">
        <f>Source!Y62</f>
        <v>266.57</v>
      </c>
    </row>
    <row r="232" ht="12.75">
      <c r="C232" s="44" t="str">
        <f>"Объем: "&amp;Source!I62&amp;"=2/"&amp;"100"</f>
        <v>Объем: 0,02=2/100</v>
      </c>
    </row>
    <row r="233" spans="1:18" ht="14.25">
      <c r="A233" s="37"/>
      <c r="B233" s="38"/>
      <c r="C233" s="38" t="s">
        <v>742</v>
      </c>
      <c r="D233" s="39"/>
      <c r="E233" s="10"/>
      <c r="F233" s="41">
        <f>Source!AO62</f>
        <v>700.75</v>
      </c>
      <c r="G233" s="40">
        <f>Source!DG62</f>
      </c>
      <c r="H233" s="42">
        <f>ROUND(Source!AF62*Source!I62,2)</f>
        <v>14.02</v>
      </c>
      <c r="I233" s="40"/>
      <c r="J233" s="40">
        <f>IF(Source!BA62&lt;&gt;0,Source!BA62,1)</f>
        <v>31.7</v>
      </c>
      <c r="K233" s="42">
        <f>Source!S62</f>
        <v>444.28</v>
      </c>
      <c r="L233" s="43"/>
      <c r="R233">
        <f>H233</f>
        <v>14.02</v>
      </c>
    </row>
    <row r="234" spans="1:12" ht="14.25">
      <c r="A234" s="37"/>
      <c r="B234" s="38"/>
      <c r="C234" s="38" t="s">
        <v>234</v>
      </c>
      <c r="D234" s="39"/>
      <c r="E234" s="10"/>
      <c r="F234" s="41">
        <f>Source!AM62</f>
        <v>226.27</v>
      </c>
      <c r="G234" s="40">
        <f>Source!DE62</f>
      </c>
      <c r="H234" s="42">
        <f>ROUND(Source!AD62*Source!I62,2)</f>
        <v>4.53</v>
      </c>
      <c r="I234" s="40"/>
      <c r="J234" s="40">
        <f>IF(Source!BB62&lt;&gt;0,Source!BB62,1)</f>
        <v>8.26</v>
      </c>
      <c r="K234" s="42">
        <f>Source!Q62</f>
        <v>37.38</v>
      </c>
      <c r="L234" s="43"/>
    </row>
    <row r="235" spans="1:18" ht="14.25">
      <c r="A235" s="37"/>
      <c r="B235" s="38"/>
      <c r="C235" s="38" t="s">
        <v>743</v>
      </c>
      <c r="D235" s="39"/>
      <c r="E235" s="10"/>
      <c r="F235" s="41">
        <f>Source!AN62</f>
        <v>11.88</v>
      </c>
      <c r="G235" s="40">
        <f>Source!DF62</f>
      </c>
      <c r="H235" s="45">
        <f>ROUND(Source!AE62*Source!I62,2)</f>
        <v>0.24</v>
      </c>
      <c r="I235" s="40"/>
      <c r="J235" s="40">
        <f>IF(Source!BS62&lt;&gt;0,Source!BS62,1)</f>
        <v>31.7</v>
      </c>
      <c r="K235" s="45">
        <f>Source!R62</f>
        <v>7.53</v>
      </c>
      <c r="L235" s="43"/>
      <c r="R235">
        <f>H235</f>
        <v>0.24</v>
      </c>
    </row>
    <row r="236" spans="1:12" ht="14.25">
      <c r="A236" s="37"/>
      <c r="B236" s="38"/>
      <c r="C236" s="38" t="s">
        <v>744</v>
      </c>
      <c r="D236" s="39"/>
      <c r="E236" s="10"/>
      <c r="F236" s="41">
        <f>Source!AL62</f>
        <v>515.36</v>
      </c>
      <c r="G236" s="40">
        <f>Source!DD62</f>
      </c>
      <c r="H236" s="42">
        <f>ROUND(Source!AC62*Source!I62,2)</f>
        <v>10.31</v>
      </c>
      <c r="I236" s="40"/>
      <c r="J236" s="40">
        <f>IF(Source!BC62&lt;&gt;0,Source!BC62,1)</f>
        <v>3.57</v>
      </c>
      <c r="K236" s="42">
        <f>Source!P62</f>
        <v>36.8</v>
      </c>
      <c r="L236" s="43"/>
    </row>
    <row r="237" spans="1:12" ht="14.25">
      <c r="A237" s="37"/>
      <c r="B237" s="38"/>
      <c r="C237" s="38" t="s">
        <v>745</v>
      </c>
      <c r="D237" s="39" t="s">
        <v>746</v>
      </c>
      <c r="E237" s="10">
        <f>Source!BZ62</f>
        <v>95</v>
      </c>
      <c r="F237" s="46" t="str">
        <f>CONCATENATE(" )",Source!DL62,Source!FT62,"=",Source!FX62)</f>
        <v> )*0,7=66,5</v>
      </c>
      <c r="G237" s="19"/>
      <c r="H237" s="42">
        <f>SUM(S231:S239)</f>
        <v>9.48</v>
      </c>
      <c r="I237" s="47"/>
      <c r="J237" s="36">
        <f>Source!AT62</f>
        <v>67</v>
      </c>
      <c r="K237" s="42">
        <f>SUM(T231:T239)</f>
        <v>302.71</v>
      </c>
      <c r="L237" s="43"/>
    </row>
    <row r="238" spans="1:12" ht="14.25">
      <c r="A238" s="37"/>
      <c r="B238" s="38"/>
      <c r="C238" s="38" t="s">
        <v>747</v>
      </c>
      <c r="D238" s="39" t="s">
        <v>746</v>
      </c>
      <c r="E238" s="10">
        <f>Source!CA62</f>
        <v>65</v>
      </c>
      <c r="F238" s="46" t="str">
        <f>CONCATENATE(" )",Source!DM62,Source!FU62,"=",Source!FY62)</f>
        <v> )*0,9=58,5</v>
      </c>
      <c r="G238" s="19"/>
      <c r="H238" s="42">
        <f>SUM(U231:U239)</f>
        <v>8.34</v>
      </c>
      <c r="I238" s="47"/>
      <c r="J238" s="36">
        <f>Source!AU62</f>
        <v>59</v>
      </c>
      <c r="K238" s="42">
        <f>SUM(V231:V239)</f>
        <v>266.57</v>
      </c>
      <c r="L238" s="43"/>
    </row>
    <row r="239" spans="1:12" ht="14.25">
      <c r="A239" s="53"/>
      <c r="B239" s="54"/>
      <c r="C239" s="54" t="s">
        <v>748</v>
      </c>
      <c r="D239" s="55" t="s">
        <v>749</v>
      </c>
      <c r="E239" s="56">
        <f>Source!AQ62</f>
        <v>70.64</v>
      </c>
      <c r="F239" s="57"/>
      <c r="G239" s="60">
        <f>Source!DI62</f>
      </c>
      <c r="H239" s="59"/>
      <c r="I239" s="60"/>
      <c r="J239" s="60"/>
      <c r="K239" s="59"/>
      <c r="L239" s="62">
        <f>Source!U62</f>
        <v>1.4128</v>
      </c>
    </row>
    <row r="240" spans="7:26" ht="15">
      <c r="G240" s="51">
        <f>H233+H234+H236+H237+H238</f>
        <v>46.68000000000001</v>
      </c>
      <c r="H240" s="51"/>
      <c r="J240" s="51">
        <f>K233+K234+K236+K237+K238</f>
        <v>1087.7399999999998</v>
      </c>
      <c r="K240" s="51"/>
      <c r="L240" s="52">
        <f>Source!U62</f>
        <v>1.4128</v>
      </c>
      <c r="O240" s="50">
        <f>G240</f>
        <v>46.68000000000001</v>
      </c>
      <c r="P240" s="50">
        <f>J240</f>
        <v>1087.7399999999998</v>
      </c>
      <c r="Q240" s="50">
        <f>L240</f>
        <v>1.4128</v>
      </c>
      <c r="W240">
        <f>IF(Source!BI62&lt;=1,H233+H234+H236+H237+H238,0)</f>
        <v>0</v>
      </c>
      <c r="X240">
        <f>IF(Source!BI62=2,H233+H234+H236+H237+H238,0)</f>
        <v>46.68000000000001</v>
      </c>
      <c r="Y240">
        <f>IF(Source!BI62=3,H233+H234+H236+H237+H238,0)</f>
        <v>0</v>
      </c>
      <c r="Z240">
        <f>IF(Source!BI62=4,H233+H234+H236+H237+H238,0)</f>
        <v>0</v>
      </c>
    </row>
    <row r="242" spans="1:32" ht="15">
      <c r="A242" s="64" t="s">
        <v>759</v>
      </c>
      <c r="B242" s="64"/>
      <c r="C242" s="64"/>
      <c r="D242" s="64"/>
      <c r="E242" s="64"/>
      <c r="F242" s="64"/>
      <c r="G242" s="51">
        <f>SUM(O41:O241)</f>
        <v>57989.340000000004</v>
      </c>
      <c r="H242" s="27"/>
      <c r="I242" s="63"/>
      <c r="J242" s="51">
        <f>SUM(P41:P241)</f>
        <v>179762.09000000003</v>
      </c>
      <c r="K242" s="27"/>
      <c r="L242" s="52">
        <f>SUM(Q41:Q241)</f>
        <v>129.99680700000002</v>
      </c>
      <c r="AF242" s="65" t="str">
        <f>CONCATENATE("Итого по локальной смете: ",IF(Source!G64&lt;&gt;"Новая локальная смета",Source!G64,""))</f>
        <v>Итого по локальной смете: </v>
      </c>
    </row>
    <row r="245" spans="3:34" ht="14.25">
      <c r="C245" s="19" t="s">
        <v>759</v>
      </c>
      <c r="D245" s="19"/>
      <c r="E245" s="19"/>
      <c r="F245" s="19"/>
      <c r="G245" s="19"/>
      <c r="H245" s="19"/>
      <c r="I245" s="19"/>
      <c r="J245" s="28">
        <f>IF(Source!F119=0,"",Source!F119)</f>
        <v>179762.09</v>
      </c>
      <c r="K245" s="28"/>
      <c r="AH245" s="66" t="s">
        <v>260</v>
      </c>
    </row>
    <row r="246" spans="3:34" ht="14.25">
      <c r="C246" s="19" t="str">
        <f>Source!H120</f>
        <v>Коэффициент на материалы и механизмы, приобретаемые со стороны при УСН</v>
      </c>
      <c r="D246" s="19"/>
      <c r="E246" s="19"/>
      <c r="F246" s="19"/>
      <c r="G246" s="19"/>
      <c r="H246" s="19"/>
      <c r="I246" s="19"/>
      <c r="J246" s="28">
        <f>IF(Source!F120=0,"",Source!F120)</f>
        <v>11.25</v>
      </c>
      <c r="K246" s="28"/>
      <c r="AH246" s="66" t="s">
        <v>262</v>
      </c>
    </row>
    <row r="247" spans="3:34" ht="14.25">
      <c r="C247" s="19" t="str">
        <f>Source!H121</f>
        <v>Расчетное значение коэффициента</v>
      </c>
      <c r="D247" s="19"/>
      <c r="E247" s="19"/>
      <c r="F247" s="19"/>
      <c r="G247" s="19"/>
      <c r="H247" s="19"/>
      <c r="I247" s="19"/>
      <c r="J247" s="28">
        <f>IF(Source!F121=0,"",Source!F121)</f>
        <v>20223.24</v>
      </c>
      <c r="K247" s="28"/>
      <c r="AH247" s="66" t="s">
        <v>264</v>
      </c>
    </row>
    <row r="248" spans="1:34" ht="15">
      <c r="A248" s="63"/>
      <c r="B248" s="63"/>
      <c r="C248" s="64" t="s">
        <v>759</v>
      </c>
      <c r="D248" s="64"/>
      <c r="E248" s="64"/>
      <c r="F248" s="64"/>
      <c r="G248" s="64"/>
      <c r="H248" s="64"/>
      <c r="I248" s="64"/>
      <c r="J248" s="51">
        <f>IF(Source!F122=0,"",Source!F122)</f>
        <v>199985.33</v>
      </c>
      <c r="K248" s="51"/>
      <c r="L248" s="63"/>
      <c r="AH248" s="66" t="s">
        <v>257</v>
      </c>
    </row>
    <row r="251" spans="1:12" ht="14.25">
      <c r="A251" s="67" t="s">
        <v>755</v>
      </c>
      <c r="B251" s="67"/>
      <c r="C251" s="10" t="s">
        <v>756</v>
      </c>
      <c r="D251" s="68" t="str">
        <f>IF(Source!AC12&lt;&gt;"",Source!AC12," ")</f>
        <v> </v>
      </c>
      <c r="E251" s="68"/>
      <c r="F251" s="68"/>
      <c r="G251" s="68"/>
      <c r="H251" s="68"/>
      <c r="I251" s="11" t="str">
        <f>IF(Source!AB12&lt;&gt;"",Source!AB12," ")</f>
        <v> </v>
      </c>
      <c r="J251" s="11"/>
      <c r="K251" s="11"/>
      <c r="L251" s="11"/>
    </row>
    <row r="252" spans="1:12" ht="14.25">
      <c r="A252" s="11"/>
      <c r="B252" s="11"/>
      <c r="C252" s="10"/>
      <c r="D252" s="69" t="s">
        <v>757</v>
      </c>
      <c r="E252" s="69"/>
      <c r="F252" s="69"/>
      <c r="G252" s="69"/>
      <c r="H252" s="69"/>
      <c r="I252" s="11"/>
      <c r="J252" s="11"/>
      <c r="K252" s="11"/>
      <c r="L252" s="11"/>
    </row>
    <row r="253" spans="1:12" ht="14.25">
      <c r="A253" s="11"/>
      <c r="B253" s="11"/>
      <c r="C253" s="10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4.25">
      <c r="A254" s="67" t="s">
        <v>755</v>
      </c>
      <c r="B254" s="67"/>
      <c r="C254" s="10" t="s">
        <v>758</v>
      </c>
      <c r="D254" s="68" t="str">
        <f>IF(Source!AE12&lt;&gt;"",Source!AE12," ")</f>
        <v> </v>
      </c>
      <c r="E254" s="68"/>
      <c r="F254" s="68"/>
      <c r="G254" s="68"/>
      <c r="H254" s="68"/>
      <c r="I254" s="11" t="str">
        <f>IF(Source!AD12&lt;&gt;"",Source!AD12," ")</f>
        <v> </v>
      </c>
      <c r="J254" s="11"/>
      <c r="K254" s="11"/>
      <c r="L254" s="11"/>
    </row>
    <row r="255" spans="1:12" ht="14.25">
      <c r="A255" s="11"/>
      <c r="B255" s="11"/>
      <c r="C255" s="11"/>
      <c r="D255" s="69" t="s">
        <v>757</v>
      </c>
      <c r="E255" s="69"/>
      <c r="F255" s="69"/>
      <c r="G255" s="69"/>
      <c r="H255" s="69"/>
      <c r="I255" s="11"/>
      <c r="J255" s="11"/>
      <c r="K255" s="11"/>
      <c r="L255" s="11"/>
    </row>
  </sheetData>
  <sheetProtection/>
  <mergeCells count="137">
    <mergeCell ref="C247:I247"/>
    <mergeCell ref="J247:K247"/>
    <mergeCell ref="C248:I248"/>
    <mergeCell ref="J248:K248"/>
    <mergeCell ref="D252:H252"/>
    <mergeCell ref="D255:H255"/>
    <mergeCell ref="C245:I245"/>
    <mergeCell ref="J245:K245"/>
    <mergeCell ref="C246:I246"/>
    <mergeCell ref="J246:K246"/>
    <mergeCell ref="H5:K5"/>
    <mergeCell ref="F237:G237"/>
    <mergeCell ref="F238:G238"/>
    <mergeCell ref="G240:H240"/>
    <mergeCell ref="J240:K240"/>
    <mergeCell ref="A242:F242"/>
    <mergeCell ref="J242:K242"/>
    <mergeCell ref="G242:H242"/>
    <mergeCell ref="G220:H220"/>
    <mergeCell ref="J220:K220"/>
    <mergeCell ref="F225:G225"/>
    <mergeCell ref="F226:G226"/>
    <mergeCell ref="G230:H230"/>
    <mergeCell ref="J230:K230"/>
    <mergeCell ref="F207:G207"/>
    <mergeCell ref="F208:G208"/>
    <mergeCell ref="G210:H210"/>
    <mergeCell ref="J210:K210"/>
    <mergeCell ref="F215:G215"/>
    <mergeCell ref="F216:G216"/>
    <mergeCell ref="G189:H189"/>
    <mergeCell ref="J189:K189"/>
    <mergeCell ref="F196:G196"/>
    <mergeCell ref="F197:G197"/>
    <mergeCell ref="G200:H200"/>
    <mergeCell ref="J200:K200"/>
    <mergeCell ref="F173:G173"/>
    <mergeCell ref="F174:G174"/>
    <mergeCell ref="G178:H178"/>
    <mergeCell ref="J178:K178"/>
    <mergeCell ref="F185:G185"/>
    <mergeCell ref="F186:G186"/>
    <mergeCell ref="G154:H154"/>
    <mergeCell ref="J154:K154"/>
    <mergeCell ref="F161:G161"/>
    <mergeCell ref="F162:G162"/>
    <mergeCell ref="G167:H167"/>
    <mergeCell ref="J167:K167"/>
    <mergeCell ref="F139:G139"/>
    <mergeCell ref="F140:G140"/>
    <mergeCell ref="G144:H144"/>
    <mergeCell ref="J144:K144"/>
    <mergeCell ref="F151:G151"/>
    <mergeCell ref="F152:G152"/>
    <mergeCell ref="G124:H124"/>
    <mergeCell ref="J124:K124"/>
    <mergeCell ref="F129:G129"/>
    <mergeCell ref="F130:G130"/>
    <mergeCell ref="G132:H132"/>
    <mergeCell ref="J132:K132"/>
    <mergeCell ref="F109:G109"/>
    <mergeCell ref="F110:G110"/>
    <mergeCell ref="G113:H113"/>
    <mergeCell ref="J113:K113"/>
    <mergeCell ref="F120:G120"/>
    <mergeCell ref="F121:G121"/>
    <mergeCell ref="G94:H94"/>
    <mergeCell ref="J94:K94"/>
    <mergeCell ref="F100:G100"/>
    <mergeCell ref="F101:G101"/>
    <mergeCell ref="G103:H103"/>
    <mergeCell ref="J103:K103"/>
    <mergeCell ref="F79:G79"/>
    <mergeCell ref="F80:G80"/>
    <mergeCell ref="G84:H84"/>
    <mergeCell ref="J84:K84"/>
    <mergeCell ref="F91:G91"/>
    <mergeCell ref="F92:G92"/>
    <mergeCell ref="G63:H63"/>
    <mergeCell ref="J63:K63"/>
    <mergeCell ref="F69:G69"/>
    <mergeCell ref="F70:G70"/>
    <mergeCell ref="G72:H72"/>
    <mergeCell ref="J72:K72"/>
    <mergeCell ref="F47:G47"/>
    <mergeCell ref="F48:G48"/>
    <mergeCell ref="G51:H51"/>
    <mergeCell ref="J51:K51"/>
    <mergeCell ref="F58:G58"/>
    <mergeCell ref="F59:G59"/>
    <mergeCell ref="C35:F35"/>
    <mergeCell ref="G35:H35"/>
    <mergeCell ref="I35:J35"/>
    <mergeCell ref="K35:L35"/>
    <mergeCell ref="A37:L37"/>
    <mergeCell ref="C33:F33"/>
    <mergeCell ref="G33:H33"/>
    <mergeCell ref="I33:J33"/>
    <mergeCell ref="K33:L33"/>
    <mergeCell ref="C34:F34"/>
    <mergeCell ref="G34:H34"/>
    <mergeCell ref="I34:J34"/>
    <mergeCell ref="K34:L34"/>
    <mergeCell ref="C31:F31"/>
    <mergeCell ref="G31:H31"/>
    <mergeCell ref="I31:J31"/>
    <mergeCell ref="K31:L31"/>
    <mergeCell ref="C32:F32"/>
    <mergeCell ref="G32:H32"/>
    <mergeCell ref="I32:J32"/>
    <mergeCell ref="K32:L32"/>
    <mergeCell ref="C29:F29"/>
    <mergeCell ref="G29:H29"/>
    <mergeCell ref="I29:J29"/>
    <mergeCell ref="K29:L29"/>
    <mergeCell ref="C30:F30"/>
    <mergeCell ref="G30:H30"/>
    <mergeCell ref="I30:J30"/>
    <mergeCell ref="K30:L30"/>
    <mergeCell ref="B17:K17"/>
    <mergeCell ref="B19:K19"/>
    <mergeCell ref="B21:K21"/>
    <mergeCell ref="B23:K23"/>
    <mergeCell ref="A25:L25"/>
    <mergeCell ref="G28:H28"/>
    <mergeCell ref="I28:J28"/>
    <mergeCell ref="B22:K22"/>
    <mergeCell ref="B10:E10"/>
    <mergeCell ref="H10:L10"/>
    <mergeCell ref="B13:K13"/>
    <mergeCell ref="B14:K14"/>
    <mergeCell ref="B3:E3"/>
    <mergeCell ref="H3:L3"/>
    <mergeCell ref="B6:E6"/>
    <mergeCell ref="H6:L6"/>
    <mergeCell ref="B9:E9"/>
    <mergeCell ref="H9:L9"/>
  </mergeCells>
  <printOptions/>
  <pageMargins left="0.4" right="0.2" top="0.4" bottom="0.4" header="0.2" footer="0.2"/>
  <pageSetup horizontalDpi="600" verticalDpi="600" orientation="portrait" paperSize="9" scale="58" r:id="rId1"/>
  <headerFooter>
    <oddHeader>&amp;L&amp;8Администрация муниципального образования Люберецкий район МО  Доп. раб. место  MCCS-0023369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X159"/>
  <sheetViews>
    <sheetView zoomScalePageLayoutView="0" workbookViewId="0" topLeftCell="A1">
      <selection activeCell="A155" sqref="A155:E155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23369</v>
      </c>
      <c r="M1">
        <v>10</v>
      </c>
    </row>
    <row r="12" spans="1:133" ht="12.75">
      <c r="A12" s="1">
        <v>1</v>
      </c>
      <c r="B12" s="1">
        <v>153</v>
      </c>
      <c r="C12" s="1">
        <v>0</v>
      </c>
      <c r="D12" s="1">
        <f>ROW(A94)</f>
        <v>94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0</v>
      </c>
      <c r="CI12" s="1" t="s">
        <v>6</v>
      </c>
      <c r="CJ12" s="1" t="s">
        <v>6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B94</f>
        <v>153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ДМШ № 2-ремонт  помещений-2020г (УСН)</v>
      </c>
      <c r="H18" s="2"/>
      <c r="I18" s="2"/>
      <c r="J18" s="2"/>
      <c r="K18" s="2"/>
      <c r="L18" s="2"/>
      <c r="M18" s="2"/>
      <c r="N18" s="2"/>
      <c r="O18" s="2">
        <f aca="true" t="shared" si="1" ref="O18:AT18">O94</f>
        <v>131177.17</v>
      </c>
      <c r="P18" s="2">
        <f t="shared" si="1"/>
        <v>91197.28</v>
      </c>
      <c r="Q18" s="2">
        <f t="shared" si="1"/>
        <v>1904.25</v>
      </c>
      <c r="R18" s="2">
        <f t="shared" si="1"/>
        <v>455.32</v>
      </c>
      <c r="S18" s="2">
        <f t="shared" si="1"/>
        <v>38075.64</v>
      </c>
      <c r="T18" s="2">
        <f t="shared" si="1"/>
        <v>0</v>
      </c>
      <c r="U18" s="2">
        <f t="shared" si="1"/>
        <v>129.99680700000002</v>
      </c>
      <c r="V18" s="2">
        <f t="shared" si="1"/>
        <v>1.2257624999999999</v>
      </c>
      <c r="W18" s="2">
        <f t="shared" si="1"/>
        <v>9.56</v>
      </c>
      <c r="X18" s="2">
        <f t="shared" si="1"/>
        <v>28406.63</v>
      </c>
      <c r="Y18" s="2">
        <f t="shared" si="1"/>
        <v>20178.29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179762.09</v>
      </c>
      <c r="AS18" s="2">
        <f t="shared" si="1"/>
        <v>178674.35</v>
      </c>
      <c r="AT18" s="2">
        <f t="shared" si="1"/>
        <v>1087.74</v>
      </c>
      <c r="AU18" s="2">
        <f aca="true" t="shared" si="2" ref="AU18:BZ18">AU94</f>
        <v>0</v>
      </c>
      <c r="AV18" s="2">
        <f t="shared" si="2"/>
        <v>91197.28</v>
      </c>
      <c r="AW18" s="2">
        <f t="shared" si="2"/>
        <v>91197.28</v>
      </c>
      <c r="AX18" s="2">
        <f t="shared" si="2"/>
        <v>0</v>
      </c>
      <c r="AY18" s="2">
        <f t="shared" si="2"/>
        <v>91197.28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CA94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DG94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ROW(A64)</f>
        <v>64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118" ht="12.75">
      <c r="A22" s="2">
        <v>52</v>
      </c>
      <c r="B22" s="2">
        <f aca="true" t="shared" si="5" ref="B22:G22">B64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Новая локальная смета</v>
      </c>
      <c r="G22" s="2" t="str">
        <f t="shared" si="5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aca="true" t="shared" si="6" ref="O22:AT22">O64</f>
        <v>131177.17</v>
      </c>
      <c r="P22" s="2">
        <f t="shared" si="6"/>
        <v>91197.28</v>
      </c>
      <c r="Q22" s="2">
        <f t="shared" si="6"/>
        <v>1904.25</v>
      </c>
      <c r="R22" s="2">
        <f t="shared" si="6"/>
        <v>455.32</v>
      </c>
      <c r="S22" s="2">
        <f t="shared" si="6"/>
        <v>38075.64</v>
      </c>
      <c r="T22" s="2">
        <f t="shared" si="6"/>
        <v>0</v>
      </c>
      <c r="U22" s="2">
        <f t="shared" si="6"/>
        <v>129.99680700000002</v>
      </c>
      <c r="V22" s="2">
        <f t="shared" si="6"/>
        <v>1.2257624999999999</v>
      </c>
      <c r="W22" s="2">
        <f t="shared" si="6"/>
        <v>9.56</v>
      </c>
      <c r="X22" s="2">
        <f t="shared" si="6"/>
        <v>28406.63</v>
      </c>
      <c r="Y22" s="2">
        <f t="shared" si="6"/>
        <v>20178.29</v>
      </c>
      <c r="Z22" s="2">
        <f t="shared" si="6"/>
        <v>0</v>
      </c>
      <c r="AA22" s="2">
        <f t="shared" si="6"/>
        <v>0</v>
      </c>
      <c r="AB22" s="2">
        <f t="shared" si="6"/>
        <v>131177.17</v>
      </c>
      <c r="AC22" s="2">
        <f t="shared" si="6"/>
        <v>91197.28</v>
      </c>
      <c r="AD22" s="2">
        <f t="shared" si="6"/>
        <v>1904.25</v>
      </c>
      <c r="AE22" s="2">
        <f t="shared" si="6"/>
        <v>455.32</v>
      </c>
      <c r="AF22" s="2">
        <f t="shared" si="6"/>
        <v>38075.64</v>
      </c>
      <c r="AG22" s="2">
        <f t="shared" si="6"/>
        <v>0</v>
      </c>
      <c r="AH22" s="2">
        <f t="shared" si="6"/>
        <v>129.99680700000002</v>
      </c>
      <c r="AI22" s="2">
        <f t="shared" si="6"/>
        <v>1.2257624999999999</v>
      </c>
      <c r="AJ22" s="2">
        <f t="shared" si="6"/>
        <v>9.56</v>
      </c>
      <c r="AK22" s="2">
        <f t="shared" si="6"/>
        <v>28406.63</v>
      </c>
      <c r="AL22" s="2">
        <f t="shared" si="6"/>
        <v>20178.29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179762.09</v>
      </c>
      <c r="AS22" s="2">
        <f t="shared" si="6"/>
        <v>178674.35</v>
      </c>
      <c r="AT22" s="2">
        <f t="shared" si="6"/>
        <v>1087.74</v>
      </c>
      <c r="AU22" s="2">
        <f aca="true" t="shared" si="7" ref="AU22:BZ22">AU64</f>
        <v>0</v>
      </c>
      <c r="AV22" s="2">
        <f t="shared" si="7"/>
        <v>91197.28</v>
      </c>
      <c r="AW22" s="2">
        <f t="shared" si="7"/>
        <v>91197.28</v>
      </c>
      <c r="AX22" s="2">
        <f t="shared" si="7"/>
        <v>0</v>
      </c>
      <c r="AY22" s="2">
        <f t="shared" si="7"/>
        <v>91197.28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179762.09</v>
      </c>
      <c r="BF22" s="2">
        <f t="shared" si="7"/>
        <v>178674.35</v>
      </c>
      <c r="BG22" s="2">
        <f t="shared" si="7"/>
        <v>1087.74</v>
      </c>
      <c r="BH22" s="2">
        <f t="shared" si="7"/>
        <v>0</v>
      </c>
      <c r="BI22" s="2">
        <f t="shared" si="7"/>
        <v>91197.28</v>
      </c>
      <c r="BJ22" s="2">
        <f t="shared" si="7"/>
        <v>91197.28</v>
      </c>
      <c r="BK22" s="2">
        <f t="shared" si="7"/>
        <v>0</v>
      </c>
      <c r="BL22" s="2">
        <f t="shared" si="7"/>
        <v>91197.28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CA64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DG64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6" ht="12.75">
      <c r="A24">
        <v>17</v>
      </c>
      <c r="B24">
        <v>1</v>
      </c>
      <c r="C24">
        <f>ROW(SmtRes!A19)</f>
        <v>19</v>
      </c>
      <c r="D24">
        <f>ROW(EtalonRes!A19)</f>
        <v>19</v>
      </c>
      <c r="E24" t="s">
        <v>14</v>
      </c>
      <c r="F24" t="s">
        <v>15</v>
      </c>
      <c r="G24" t="s">
        <v>16</v>
      </c>
      <c r="H24" t="s">
        <v>17</v>
      </c>
      <c r="I24">
        <f>ROUND(12/100,9)</f>
        <v>0.12</v>
      </c>
      <c r="J24">
        <v>0</v>
      </c>
      <c r="O24">
        <f aca="true" t="shared" si="10" ref="O24:O62">ROUND(CP24+GX24,2)</f>
        <v>4920.11</v>
      </c>
      <c r="P24">
        <f aca="true" t="shared" si="11" ref="P24:P62">ROUND(CQ24*I24,2)</f>
        <v>1724.56</v>
      </c>
      <c r="Q24">
        <f aca="true" t="shared" si="12" ref="Q24:Q62">ROUND(CR24*I24,2)</f>
        <v>26.11</v>
      </c>
      <c r="R24">
        <f aca="true" t="shared" si="13" ref="R24:R62">ROUND(CS24*I24,2)</f>
        <v>6.7</v>
      </c>
      <c r="S24">
        <f aca="true" t="shared" si="14" ref="S24:S62">ROUND(CT24*I24,2)</f>
        <v>3169.44</v>
      </c>
      <c r="T24">
        <f aca="true" t="shared" si="15" ref="T24:T62">ROUND(CU24*I24,2)</f>
        <v>0</v>
      </c>
      <c r="U24">
        <f aca="true" t="shared" si="16" ref="U24:U62">CV24*I24</f>
        <v>11.146259999999998</v>
      </c>
      <c r="V24">
        <f aca="true" t="shared" si="17" ref="V24:V62">CW24*I24</f>
        <v>0.021</v>
      </c>
      <c r="W24">
        <f aca="true" t="shared" si="18" ref="W24:W62">ROUND(CX24*I24,2)</f>
        <v>0</v>
      </c>
      <c r="X24">
        <f aca="true" t="shared" si="19" ref="X24:X62">ROUND(CY24,2)</f>
        <v>2350.34</v>
      </c>
      <c r="Y24">
        <f aca="true" t="shared" si="20" ref="Y24:Y62">ROUND(CZ24,2)</f>
        <v>1524.55</v>
      </c>
      <c r="AA24">
        <v>45926640</v>
      </c>
      <c r="AB24">
        <f aca="true" t="shared" si="21" ref="AB24:AB62">ROUND((AC24+AD24+AF24)+GT24,6)</f>
        <v>2795.979</v>
      </c>
      <c r="AC24">
        <f aca="true" t="shared" si="22" ref="AC24:AC62">ROUND((ES24),6)</f>
        <v>1947.33</v>
      </c>
      <c r="AD24">
        <f>ROUND(((((ET24*1.25))-((EU24*1.25)))+AE24),6)</f>
        <v>15.4625</v>
      </c>
      <c r="AE24">
        <f>ROUND(((EU24*1.25)),6)</f>
        <v>1.7625</v>
      </c>
      <c r="AF24">
        <f>ROUND(((EV24*1.15)),6)</f>
        <v>833.1865</v>
      </c>
      <c r="AG24">
        <f aca="true" t="shared" si="23" ref="AG24:AG62">ROUND((AP24),6)</f>
        <v>0</v>
      </c>
      <c r="AH24">
        <f>((EW24*1.15))</f>
        <v>92.8855</v>
      </c>
      <c r="AI24">
        <f>((EX24*1.25))</f>
        <v>0.17500000000000002</v>
      </c>
      <c r="AJ24">
        <f aca="true" t="shared" si="24" ref="AJ24:AJ62">ROUND((AS24),6)</f>
        <v>0</v>
      </c>
      <c r="AK24">
        <v>2684.21</v>
      </c>
      <c r="AL24">
        <v>1947.33</v>
      </c>
      <c r="AM24">
        <v>12.37</v>
      </c>
      <c r="AN24">
        <v>1.41</v>
      </c>
      <c r="AO24">
        <v>724.51</v>
      </c>
      <c r="AP24">
        <v>0</v>
      </c>
      <c r="AQ24">
        <v>80.77</v>
      </c>
      <c r="AR24">
        <v>0.14</v>
      </c>
      <c r="AS24">
        <v>0</v>
      </c>
      <c r="AT24">
        <v>74</v>
      </c>
      <c r="AU24">
        <v>48</v>
      </c>
      <c r="AV24">
        <v>1</v>
      </c>
      <c r="AW24">
        <v>1</v>
      </c>
      <c r="AZ24">
        <v>1</v>
      </c>
      <c r="BA24">
        <v>31.7</v>
      </c>
      <c r="BB24">
        <v>14.07</v>
      </c>
      <c r="BC24">
        <v>7.38</v>
      </c>
      <c r="BH24">
        <v>0</v>
      </c>
      <c r="BI24">
        <v>1</v>
      </c>
      <c r="BJ24" t="s">
        <v>18</v>
      </c>
      <c r="BM24">
        <v>10001</v>
      </c>
      <c r="BN24">
        <v>0</v>
      </c>
      <c r="BO24" t="s">
        <v>15</v>
      </c>
      <c r="BP24">
        <v>1</v>
      </c>
      <c r="BQ24">
        <v>2</v>
      </c>
      <c r="BR24">
        <v>0</v>
      </c>
      <c r="BS24">
        <v>31.7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118</v>
      </c>
      <c r="CA24">
        <v>63</v>
      </c>
      <c r="CF24">
        <v>0</v>
      </c>
      <c r="CG24">
        <v>0</v>
      </c>
      <c r="CM24">
        <v>0</v>
      </c>
      <c r="CN24" t="s">
        <v>711</v>
      </c>
      <c r="CO24">
        <v>0</v>
      </c>
      <c r="CP24">
        <f aca="true" t="shared" si="25" ref="CP24:CP62">(P24+Q24+S24)</f>
        <v>4920.11</v>
      </c>
      <c r="CQ24">
        <f aca="true" t="shared" si="26" ref="CQ24:CQ62">AC24*BC24</f>
        <v>14371.295399999999</v>
      </c>
      <c r="CR24">
        <f aca="true" t="shared" si="27" ref="CR24:CR62">AD24*BB24</f>
        <v>217.557375</v>
      </c>
      <c r="CS24">
        <f aca="true" t="shared" si="28" ref="CS24:CS62">AE24*BS24</f>
        <v>55.871249999999996</v>
      </c>
      <c r="CT24">
        <f aca="true" t="shared" si="29" ref="CT24:CT62">AF24*BA24</f>
        <v>26412.01205</v>
      </c>
      <c r="CU24">
        <f aca="true" t="shared" si="30" ref="CU24:CU62">AG24</f>
        <v>0</v>
      </c>
      <c r="CV24">
        <f aca="true" t="shared" si="31" ref="CV24:CV62">AH24</f>
        <v>92.8855</v>
      </c>
      <c r="CW24">
        <f aca="true" t="shared" si="32" ref="CW24:CW62">AI24</f>
        <v>0.17500000000000002</v>
      </c>
      <c r="CX24">
        <f aca="true" t="shared" si="33" ref="CX24:CX62">AJ24</f>
        <v>0</v>
      </c>
      <c r="CY24">
        <f aca="true" t="shared" si="34" ref="CY24:CY62">(((S24+R24)*AT24)/100)</f>
        <v>2350.3435999999997</v>
      </c>
      <c r="CZ24">
        <f aca="true" t="shared" si="35" ref="CZ24:CZ62">(((S24+R24)*AU24)/100)</f>
        <v>1524.5472</v>
      </c>
      <c r="DE24" t="s">
        <v>19</v>
      </c>
      <c r="DF24" t="s">
        <v>19</v>
      </c>
      <c r="DG24" t="s">
        <v>20</v>
      </c>
      <c r="DI24" t="s">
        <v>20</v>
      </c>
      <c r="DJ24" t="s">
        <v>19</v>
      </c>
      <c r="DN24">
        <v>0</v>
      </c>
      <c r="DO24">
        <v>0</v>
      </c>
      <c r="DP24">
        <v>1</v>
      </c>
      <c r="DQ24">
        <v>1</v>
      </c>
      <c r="DU24">
        <v>1005</v>
      </c>
      <c r="DV24" t="s">
        <v>17</v>
      </c>
      <c r="DW24" t="s">
        <v>17</v>
      </c>
      <c r="DX24">
        <v>100</v>
      </c>
      <c r="EE24">
        <v>41567134</v>
      </c>
      <c r="EF24">
        <v>2</v>
      </c>
      <c r="EG24" t="s">
        <v>21</v>
      </c>
      <c r="EH24">
        <v>0</v>
      </c>
      <c r="EJ24">
        <v>1</v>
      </c>
      <c r="EK24">
        <v>10001</v>
      </c>
      <c r="EL24" t="s">
        <v>22</v>
      </c>
      <c r="EM24" t="s">
        <v>23</v>
      </c>
      <c r="EO24" t="s">
        <v>24</v>
      </c>
      <c r="EQ24">
        <v>0</v>
      </c>
      <c r="ER24">
        <v>2684.21</v>
      </c>
      <c r="ES24">
        <v>1947.33</v>
      </c>
      <c r="ET24">
        <v>12.37</v>
      </c>
      <c r="EU24">
        <v>1.41</v>
      </c>
      <c r="EV24">
        <v>724.51</v>
      </c>
      <c r="EW24">
        <v>80.77</v>
      </c>
      <c r="EX24">
        <v>0.14</v>
      </c>
      <c r="EY24">
        <v>0</v>
      </c>
      <c r="FQ24">
        <v>0</v>
      </c>
      <c r="FR24">
        <f aca="true" t="shared" si="36" ref="FR24:FR62">ROUND(IF(AND(BH24=3,BI24=3),P24,0),2)</f>
        <v>0</v>
      </c>
      <c r="FS24">
        <v>0</v>
      </c>
      <c r="FT24" t="s">
        <v>25</v>
      </c>
      <c r="FU24" t="s">
        <v>26</v>
      </c>
      <c r="FX24">
        <v>74.34</v>
      </c>
      <c r="FY24">
        <v>48.195</v>
      </c>
      <c r="GD24">
        <v>0</v>
      </c>
      <c r="GF24">
        <v>-1596808913</v>
      </c>
      <c r="GG24">
        <v>2</v>
      </c>
      <c r="GH24">
        <v>1</v>
      </c>
      <c r="GI24">
        <v>2</v>
      </c>
      <c r="GJ24">
        <v>0</v>
      </c>
      <c r="GK24">
        <f>ROUND(R24*(R12)/100,2)</f>
        <v>0</v>
      </c>
      <c r="GL24">
        <f aca="true" t="shared" si="37" ref="GL24:GL62">ROUND(IF(AND(BH24=3,BI24=3,FS24&lt;&gt;0),P24,0),2)</f>
        <v>0</v>
      </c>
      <c r="GM24">
        <f aca="true" t="shared" si="38" ref="GM24:GM62">O24+X24+Y24+GK24</f>
        <v>8795</v>
      </c>
      <c r="GN24">
        <f aca="true" t="shared" si="39" ref="GN24:GN62">ROUND(IF(OR(BI24=0,BI24=1),O24+X24+Y24+GK24-GX24,0),2)</f>
        <v>8795</v>
      </c>
      <c r="GO24">
        <f aca="true" t="shared" si="40" ref="GO24:GO62">ROUND(IF(BI24=2,O24+X24+Y24+GK24-GX24,0),2)</f>
        <v>0</v>
      </c>
      <c r="GP24">
        <f aca="true" t="shared" si="41" ref="GP24:GP62">ROUND(IF(BI24=4,O24+X24+Y24+GK24,GX24),2)</f>
        <v>0</v>
      </c>
      <c r="GT24">
        <v>0</v>
      </c>
      <c r="GU24">
        <v>1</v>
      </c>
      <c r="GV24">
        <v>0</v>
      </c>
      <c r="GW24">
        <v>0</v>
      </c>
      <c r="GX24">
        <f aca="true" t="shared" si="42" ref="GX24:GX62">ROUND(GT24*GU24*I24,2)</f>
        <v>0</v>
      </c>
    </row>
    <row r="25" spans="1:206" ht="12.75">
      <c r="A25">
        <v>18</v>
      </c>
      <c r="B25">
        <v>1</v>
      </c>
      <c r="C25">
        <v>11</v>
      </c>
      <c r="E25" t="s">
        <v>27</v>
      </c>
      <c r="F25" t="s">
        <v>28</v>
      </c>
      <c r="G25" t="s">
        <v>29</v>
      </c>
      <c r="H25" t="s">
        <v>30</v>
      </c>
      <c r="I25">
        <f>I24*J25</f>
        <v>12.6</v>
      </c>
      <c r="J25">
        <v>105</v>
      </c>
      <c r="O25">
        <f t="shared" si="10"/>
        <v>1042.58</v>
      </c>
      <c r="P25">
        <f t="shared" si="11"/>
        <v>1042.58</v>
      </c>
      <c r="Q25">
        <f t="shared" si="12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>
        <f t="shared" si="16"/>
        <v>0</v>
      </c>
      <c r="V25">
        <f t="shared" si="17"/>
        <v>0</v>
      </c>
      <c r="W25">
        <f t="shared" si="18"/>
        <v>5.54</v>
      </c>
      <c r="X25">
        <f t="shared" si="19"/>
        <v>0</v>
      </c>
      <c r="Y25">
        <f t="shared" si="20"/>
        <v>0</v>
      </c>
      <c r="AA25">
        <v>45926640</v>
      </c>
      <c r="AB25">
        <f t="shared" si="21"/>
        <v>15.38</v>
      </c>
      <c r="AC25">
        <f t="shared" si="22"/>
        <v>15.38</v>
      </c>
      <c r="AD25">
        <f>ROUND((((ET25)-(EU25))+AE25),6)</f>
        <v>0</v>
      </c>
      <c r="AE25">
        <f>ROUND((EU25),6)</f>
        <v>0</v>
      </c>
      <c r="AF25">
        <f>ROUND((EV25),6)</f>
        <v>0</v>
      </c>
      <c r="AG25">
        <f t="shared" si="23"/>
        <v>0</v>
      </c>
      <c r="AH25">
        <f>(EW25)</f>
        <v>0</v>
      </c>
      <c r="AI25">
        <f>(EX25)</f>
        <v>0</v>
      </c>
      <c r="AJ25">
        <f t="shared" si="24"/>
        <v>0.44</v>
      </c>
      <c r="AK25">
        <v>15.38</v>
      </c>
      <c r="AL25">
        <v>15.38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0.44</v>
      </c>
      <c r="AT25">
        <v>74</v>
      </c>
      <c r="AU25">
        <v>48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5.38</v>
      </c>
      <c r="BH25">
        <v>3</v>
      </c>
      <c r="BI25">
        <v>1</v>
      </c>
      <c r="BJ25" t="s">
        <v>31</v>
      </c>
      <c r="BM25">
        <v>10001</v>
      </c>
      <c r="BN25">
        <v>0</v>
      </c>
      <c r="BO25" t="s">
        <v>28</v>
      </c>
      <c r="BP25">
        <v>1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118</v>
      </c>
      <c r="CA25">
        <v>63</v>
      </c>
      <c r="CF25">
        <v>0</v>
      </c>
      <c r="CG25">
        <v>0</v>
      </c>
      <c r="CM25">
        <v>0</v>
      </c>
      <c r="CO25">
        <v>0</v>
      </c>
      <c r="CP25">
        <f t="shared" si="25"/>
        <v>1042.58</v>
      </c>
      <c r="CQ25">
        <f t="shared" si="26"/>
        <v>82.7444</v>
      </c>
      <c r="CR25">
        <f t="shared" si="27"/>
        <v>0</v>
      </c>
      <c r="CS25">
        <f t="shared" si="28"/>
        <v>0</v>
      </c>
      <c r="CT25">
        <f t="shared" si="29"/>
        <v>0</v>
      </c>
      <c r="CU25">
        <f t="shared" si="30"/>
        <v>0</v>
      </c>
      <c r="CV25">
        <f t="shared" si="31"/>
        <v>0</v>
      </c>
      <c r="CW25">
        <f t="shared" si="32"/>
        <v>0</v>
      </c>
      <c r="CX25">
        <f t="shared" si="33"/>
        <v>0.44</v>
      </c>
      <c r="CY25">
        <f t="shared" si="34"/>
        <v>0</v>
      </c>
      <c r="CZ25">
        <f t="shared" si="35"/>
        <v>0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30</v>
      </c>
      <c r="DW25" t="s">
        <v>30</v>
      </c>
      <c r="DX25">
        <v>1</v>
      </c>
      <c r="EE25">
        <v>41567134</v>
      </c>
      <c r="EF25">
        <v>2</v>
      </c>
      <c r="EG25" t="s">
        <v>21</v>
      </c>
      <c r="EH25">
        <v>0</v>
      </c>
      <c r="EJ25">
        <v>1</v>
      </c>
      <c r="EK25">
        <v>10001</v>
      </c>
      <c r="EL25" t="s">
        <v>22</v>
      </c>
      <c r="EM25" t="s">
        <v>23</v>
      </c>
      <c r="EQ25">
        <v>0</v>
      </c>
      <c r="ER25">
        <v>15.38</v>
      </c>
      <c r="ES25">
        <v>15.38</v>
      </c>
      <c r="ET25">
        <v>0</v>
      </c>
      <c r="EU25">
        <v>0</v>
      </c>
      <c r="EV25">
        <v>0</v>
      </c>
      <c r="EW25">
        <v>0</v>
      </c>
      <c r="EX25">
        <v>0</v>
      </c>
      <c r="FQ25">
        <v>0</v>
      </c>
      <c r="FR25">
        <f t="shared" si="36"/>
        <v>0</v>
      </c>
      <c r="FS25">
        <v>0</v>
      </c>
      <c r="FT25" t="s">
        <v>25</v>
      </c>
      <c r="FU25" t="s">
        <v>26</v>
      </c>
      <c r="FX25">
        <v>74.34</v>
      </c>
      <c r="FY25">
        <v>48.195</v>
      </c>
      <c r="GD25">
        <v>0</v>
      </c>
      <c r="GF25">
        <v>-716222595</v>
      </c>
      <c r="GG25">
        <v>2</v>
      </c>
      <c r="GH25">
        <v>1</v>
      </c>
      <c r="GI25">
        <v>2</v>
      </c>
      <c r="GJ25">
        <v>0</v>
      </c>
      <c r="GK25">
        <f>ROUND(R25*(R12)/100,2)</f>
        <v>0</v>
      </c>
      <c r="GL25">
        <f t="shared" si="37"/>
        <v>0</v>
      </c>
      <c r="GM25">
        <f t="shared" si="38"/>
        <v>1042.58</v>
      </c>
      <c r="GN25">
        <f t="shared" si="39"/>
        <v>1042.58</v>
      </c>
      <c r="GO25">
        <f t="shared" si="40"/>
        <v>0</v>
      </c>
      <c r="GP25">
        <f t="shared" si="41"/>
        <v>0</v>
      </c>
      <c r="GT25">
        <v>0</v>
      </c>
      <c r="GU25">
        <v>1</v>
      </c>
      <c r="GV25">
        <v>0</v>
      </c>
      <c r="GW25">
        <v>0</v>
      </c>
      <c r="GX25">
        <f t="shared" si="42"/>
        <v>0</v>
      </c>
    </row>
    <row r="26" spans="1:206" ht="12.75">
      <c r="A26">
        <v>17</v>
      </c>
      <c r="B26">
        <v>1</v>
      </c>
      <c r="C26">
        <f>ROW(SmtRes!A36)</f>
        <v>36</v>
      </c>
      <c r="D26">
        <f>ROW(EtalonRes!A36)</f>
        <v>36</v>
      </c>
      <c r="E26" t="s">
        <v>32</v>
      </c>
      <c r="F26" t="s">
        <v>33</v>
      </c>
      <c r="G26" t="s">
        <v>34</v>
      </c>
      <c r="H26" t="s">
        <v>35</v>
      </c>
      <c r="I26">
        <f>ROUND(2.4/100,9)</f>
        <v>0.024</v>
      </c>
      <c r="J26">
        <v>0</v>
      </c>
      <c r="O26">
        <f t="shared" si="10"/>
        <v>3733.45</v>
      </c>
      <c r="P26">
        <f t="shared" si="11"/>
        <v>2707.82</v>
      </c>
      <c r="Q26">
        <f t="shared" si="12"/>
        <v>306.54</v>
      </c>
      <c r="R26">
        <f t="shared" si="13"/>
        <v>124.41</v>
      </c>
      <c r="S26">
        <f t="shared" si="14"/>
        <v>719.09</v>
      </c>
      <c r="T26">
        <f t="shared" si="15"/>
        <v>0</v>
      </c>
      <c r="U26">
        <f t="shared" si="16"/>
        <v>2.471028</v>
      </c>
      <c r="V26">
        <f t="shared" si="17"/>
        <v>0.29069999999999996</v>
      </c>
      <c r="W26">
        <f t="shared" si="18"/>
        <v>0</v>
      </c>
      <c r="X26">
        <f t="shared" si="19"/>
        <v>624.19</v>
      </c>
      <c r="Y26">
        <f t="shared" si="20"/>
        <v>404.88</v>
      </c>
      <c r="AA26">
        <v>45926640</v>
      </c>
      <c r="AB26">
        <f t="shared" si="21"/>
        <v>25001.6335</v>
      </c>
      <c r="AC26">
        <f t="shared" si="22"/>
        <v>22793.11</v>
      </c>
      <c r="AD26">
        <f>ROUND(((((ET26*1.25))-((EU26*1.25)))+AE26),6)</f>
        <v>1263.35</v>
      </c>
      <c r="AE26">
        <f>ROUND(((EU26*1.25)),6)</f>
        <v>163.525</v>
      </c>
      <c r="AF26">
        <f>ROUND(((EV26*1.15)),6)</f>
        <v>945.1735</v>
      </c>
      <c r="AG26">
        <f t="shared" si="23"/>
        <v>0</v>
      </c>
      <c r="AH26">
        <f>((EW26*1.15))</f>
        <v>102.95949999999999</v>
      </c>
      <c r="AI26">
        <f>((EX26*1.25))</f>
        <v>12.112499999999999</v>
      </c>
      <c r="AJ26">
        <f t="shared" si="24"/>
        <v>0</v>
      </c>
      <c r="AK26">
        <v>24625.68</v>
      </c>
      <c r="AL26">
        <v>22793.11</v>
      </c>
      <c r="AM26">
        <v>1010.68</v>
      </c>
      <c r="AN26">
        <v>130.82</v>
      </c>
      <c r="AO26">
        <v>821.89</v>
      </c>
      <c r="AP26">
        <v>0</v>
      </c>
      <c r="AQ26">
        <v>89.53</v>
      </c>
      <c r="AR26">
        <v>9.69</v>
      </c>
      <c r="AS26">
        <v>0</v>
      </c>
      <c r="AT26">
        <v>74</v>
      </c>
      <c r="AU26">
        <v>48</v>
      </c>
      <c r="AV26">
        <v>1</v>
      </c>
      <c r="AW26">
        <v>1</v>
      </c>
      <c r="AZ26">
        <v>1</v>
      </c>
      <c r="BA26">
        <v>31.7</v>
      </c>
      <c r="BB26">
        <v>10.11</v>
      </c>
      <c r="BC26">
        <v>4.95</v>
      </c>
      <c r="BH26">
        <v>0</v>
      </c>
      <c r="BI26">
        <v>1</v>
      </c>
      <c r="BJ26" t="s">
        <v>36</v>
      </c>
      <c r="BM26">
        <v>10001</v>
      </c>
      <c r="BN26">
        <v>0</v>
      </c>
      <c r="BO26" t="s">
        <v>33</v>
      </c>
      <c r="BP26">
        <v>1</v>
      </c>
      <c r="BQ26">
        <v>2</v>
      </c>
      <c r="BR26">
        <v>0</v>
      </c>
      <c r="BS26">
        <v>31.7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118</v>
      </c>
      <c r="CA26">
        <v>63</v>
      </c>
      <c r="CF26">
        <v>0</v>
      </c>
      <c r="CG26">
        <v>0</v>
      </c>
      <c r="CM26">
        <v>0</v>
      </c>
      <c r="CN26" t="s">
        <v>711</v>
      </c>
      <c r="CO26">
        <v>0</v>
      </c>
      <c r="CP26">
        <f t="shared" si="25"/>
        <v>3733.4500000000003</v>
      </c>
      <c r="CQ26">
        <f t="shared" si="26"/>
        <v>112825.89450000001</v>
      </c>
      <c r="CR26">
        <f t="shared" si="27"/>
        <v>12772.468499999999</v>
      </c>
      <c r="CS26">
        <f t="shared" si="28"/>
        <v>5183.7425</v>
      </c>
      <c r="CT26">
        <f t="shared" si="29"/>
        <v>29961.999949999998</v>
      </c>
      <c r="CU26">
        <f t="shared" si="30"/>
        <v>0</v>
      </c>
      <c r="CV26">
        <f t="shared" si="31"/>
        <v>102.95949999999999</v>
      </c>
      <c r="CW26">
        <f t="shared" si="32"/>
        <v>12.112499999999999</v>
      </c>
      <c r="CX26">
        <f t="shared" si="33"/>
        <v>0</v>
      </c>
      <c r="CY26">
        <f t="shared" si="34"/>
        <v>624.19</v>
      </c>
      <c r="CZ26">
        <f t="shared" si="35"/>
        <v>404.88</v>
      </c>
      <c r="DE26" t="s">
        <v>19</v>
      </c>
      <c r="DF26" t="s">
        <v>19</v>
      </c>
      <c r="DG26" t="s">
        <v>20</v>
      </c>
      <c r="DI26" t="s">
        <v>20</v>
      </c>
      <c r="DJ26" t="s">
        <v>19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35</v>
      </c>
      <c r="DW26" t="s">
        <v>35</v>
      </c>
      <c r="DX26">
        <v>1</v>
      </c>
      <c r="EE26">
        <v>41567134</v>
      </c>
      <c r="EF26">
        <v>2</v>
      </c>
      <c r="EG26" t="s">
        <v>21</v>
      </c>
      <c r="EH26">
        <v>0</v>
      </c>
      <c r="EJ26">
        <v>1</v>
      </c>
      <c r="EK26">
        <v>10001</v>
      </c>
      <c r="EL26" t="s">
        <v>22</v>
      </c>
      <c r="EM26" t="s">
        <v>23</v>
      </c>
      <c r="EO26" t="s">
        <v>24</v>
      </c>
      <c r="EQ26">
        <v>0</v>
      </c>
      <c r="ER26">
        <v>24625.68</v>
      </c>
      <c r="ES26">
        <v>22793.11</v>
      </c>
      <c r="ET26">
        <v>1010.68</v>
      </c>
      <c r="EU26">
        <v>130.82</v>
      </c>
      <c r="EV26">
        <v>821.89</v>
      </c>
      <c r="EW26">
        <v>89.53</v>
      </c>
      <c r="EX26">
        <v>9.69</v>
      </c>
      <c r="EY26">
        <v>0</v>
      </c>
      <c r="FQ26">
        <v>0</v>
      </c>
      <c r="FR26">
        <f t="shared" si="36"/>
        <v>0</v>
      </c>
      <c r="FS26">
        <v>0</v>
      </c>
      <c r="FT26" t="s">
        <v>25</v>
      </c>
      <c r="FU26" t="s">
        <v>26</v>
      </c>
      <c r="FX26">
        <v>74.34</v>
      </c>
      <c r="FY26">
        <v>48.195</v>
      </c>
      <c r="GD26">
        <v>0</v>
      </c>
      <c r="GF26">
        <v>-1432550647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37"/>
        <v>0</v>
      </c>
      <c r="GM26">
        <f t="shared" si="38"/>
        <v>4762.5199999999995</v>
      </c>
      <c r="GN26">
        <f t="shared" si="39"/>
        <v>4762.52</v>
      </c>
      <c r="GO26">
        <f t="shared" si="40"/>
        <v>0</v>
      </c>
      <c r="GP26">
        <f t="shared" si="41"/>
        <v>0</v>
      </c>
      <c r="GT26">
        <v>0</v>
      </c>
      <c r="GU26">
        <v>1</v>
      </c>
      <c r="GV26">
        <v>0</v>
      </c>
      <c r="GW26">
        <v>0</v>
      </c>
      <c r="GX26">
        <f t="shared" si="42"/>
        <v>0</v>
      </c>
    </row>
    <row r="27" spans="1:206" ht="12.75">
      <c r="A27">
        <v>18</v>
      </c>
      <c r="B27">
        <v>1</v>
      </c>
      <c r="C27">
        <v>33</v>
      </c>
      <c r="E27" t="s">
        <v>37</v>
      </c>
      <c r="F27" t="s">
        <v>38</v>
      </c>
      <c r="G27" t="s">
        <v>39</v>
      </c>
      <c r="H27" t="s">
        <v>30</v>
      </c>
      <c r="I27">
        <f>I26*J27</f>
        <v>-2.4</v>
      </c>
      <c r="J27">
        <v>-100</v>
      </c>
      <c r="O27">
        <f t="shared" si="10"/>
        <v>-2493.94</v>
      </c>
      <c r="P27">
        <f t="shared" si="11"/>
        <v>-2493.94</v>
      </c>
      <c r="Q27">
        <f t="shared" si="12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>
        <f t="shared" si="16"/>
        <v>0</v>
      </c>
      <c r="V27">
        <f t="shared" si="17"/>
        <v>0</v>
      </c>
      <c r="W27">
        <f t="shared" si="18"/>
        <v>-3.48</v>
      </c>
      <c r="X27">
        <f t="shared" si="19"/>
        <v>0</v>
      </c>
      <c r="Y27">
        <f t="shared" si="20"/>
        <v>0</v>
      </c>
      <c r="AA27">
        <v>45926640</v>
      </c>
      <c r="AB27">
        <f t="shared" si="21"/>
        <v>207</v>
      </c>
      <c r="AC27">
        <f t="shared" si="22"/>
        <v>207</v>
      </c>
      <c r="AD27">
        <f>ROUND((((ET27)-(EU27))+AE27),6)</f>
        <v>0</v>
      </c>
      <c r="AE27">
        <f>ROUND((EU27),6)</f>
        <v>0</v>
      </c>
      <c r="AF27">
        <f>ROUND((EV27),6)</f>
        <v>0</v>
      </c>
      <c r="AG27">
        <f t="shared" si="23"/>
        <v>0</v>
      </c>
      <c r="AH27">
        <f>(EW27)</f>
        <v>0</v>
      </c>
      <c r="AI27">
        <f>(EX27)</f>
        <v>0</v>
      </c>
      <c r="AJ27">
        <f t="shared" si="24"/>
        <v>1.45</v>
      </c>
      <c r="AK27">
        <v>207</v>
      </c>
      <c r="AL27">
        <v>207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1.45</v>
      </c>
      <c r="AT27">
        <v>74</v>
      </c>
      <c r="AU27">
        <v>48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5.02</v>
      </c>
      <c r="BH27">
        <v>3</v>
      </c>
      <c r="BI27">
        <v>1</v>
      </c>
      <c r="BJ27" t="s">
        <v>40</v>
      </c>
      <c r="BM27">
        <v>10001</v>
      </c>
      <c r="BN27">
        <v>0</v>
      </c>
      <c r="BO27" t="s">
        <v>38</v>
      </c>
      <c r="BP27">
        <v>1</v>
      </c>
      <c r="BQ27">
        <v>2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118</v>
      </c>
      <c r="CA27">
        <v>63</v>
      </c>
      <c r="CF27">
        <v>0</v>
      </c>
      <c r="CG27">
        <v>0</v>
      </c>
      <c r="CM27">
        <v>0</v>
      </c>
      <c r="CO27">
        <v>0</v>
      </c>
      <c r="CP27">
        <f t="shared" si="25"/>
        <v>-2493.94</v>
      </c>
      <c r="CQ27">
        <f t="shared" si="26"/>
        <v>1039.1399999999999</v>
      </c>
      <c r="CR27">
        <f t="shared" si="27"/>
        <v>0</v>
      </c>
      <c r="CS27">
        <f t="shared" si="28"/>
        <v>0</v>
      </c>
      <c r="CT27">
        <f t="shared" si="29"/>
        <v>0</v>
      </c>
      <c r="CU27">
        <f t="shared" si="30"/>
        <v>0</v>
      </c>
      <c r="CV27">
        <f t="shared" si="31"/>
        <v>0</v>
      </c>
      <c r="CW27">
        <f t="shared" si="32"/>
        <v>0</v>
      </c>
      <c r="CX27">
        <f t="shared" si="33"/>
        <v>1.45</v>
      </c>
      <c r="CY27">
        <f t="shared" si="34"/>
        <v>0</v>
      </c>
      <c r="CZ27">
        <f t="shared" si="35"/>
        <v>0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30</v>
      </c>
      <c r="DW27" t="s">
        <v>30</v>
      </c>
      <c r="DX27">
        <v>1</v>
      </c>
      <c r="EE27">
        <v>41567134</v>
      </c>
      <c r="EF27">
        <v>2</v>
      </c>
      <c r="EG27" t="s">
        <v>21</v>
      </c>
      <c r="EH27">
        <v>0</v>
      </c>
      <c r="EJ27">
        <v>1</v>
      </c>
      <c r="EK27">
        <v>10001</v>
      </c>
      <c r="EL27" t="s">
        <v>22</v>
      </c>
      <c r="EM27" t="s">
        <v>23</v>
      </c>
      <c r="EQ27">
        <v>32768</v>
      </c>
      <c r="ER27">
        <v>207</v>
      </c>
      <c r="ES27">
        <v>207</v>
      </c>
      <c r="ET27">
        <v>0</v>
      </c>
      <c r="EU27">
        <v>0</v>
      </c>
      <c r="EV27">
        <v>0</v>
      </c>
      <c r="EW27">
        <v>0</v>
      </c>
      <c r="EX27">
        <v>0</v>
      </c>
      <c r="FQ27">
        <v>0</v>
      </c>
      <c r="FR27">
        <f t="shared" si="36"/>
        <v>0</v>
      </c>
      <c r="FS27">
        <v>0</v>
      </c>
      <c r="FT27" t="s">
        <v>25</v>
      </c>
      <c r="FU27" t="s">
        <v>26</v>
      </c>
      <c r="FX27">
        <v>74.34</v>
      </c>
      <c r="FY27">
        <v>48.195</v>
      </c>
      <c r="GD27">
        <v>0</v>
      </c>
      <c r="GF27">
        <v>-172969429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37"/>
        <v>0</v>
      </c>
      <c r="GM27">
        <f t="shared" si="38"/>
        <v>-2493.94</v>
      </c>
      <c r="GN27">
        <f t="shared" si="39"/>
        <v>-2493.94</v>
      </c>
      <c r="GO27">
        <f t="shared" si="40"/>
        <v>0</v>
      </c>
      <c r="GP27">
        <f t="shared" si="41"/>
        <v>0</v>
      </c>
      <c r="GT27">
        <v>0</v>
      </c>
      <c r="GU27">
        <v>1</v>
      </c>
      <c r="GV27">
        <v>0</v>
      </c>
      <c r="GW27">
        <v>0</v>
      </c>
      <c r="GX27">
        <f t="shared" si="42"/>
        <v>0</v>
      </c>
    </row>
    <row r="28" spans="1:206" ht="12.75">
      <c r="A28">
        <v>18</v>
      </c>
      <c r="B28">
        <v>1</v>
      </c>
      <c r="C28">
        <v>34</v>
      </c>
      <c r="E28" t="s">
        <v>41</v>
      </c>
      <c r="F28" t="s">
        <v>42</v>
      </c>
      <c r="G28" t="s">
        <v>43</v>
      </c>
      <c r="H28" t="s">
        <v>44</v>
      </c>
      <c r="I28">
        <f>I26*J28</f>
        <v>2</v>
      </c>
      <c r="J28">
        <v>83.33333333333333</v>
      </c>
      <c r="O28">
        <f t="shared" si="10"/>
        <v>12180.18</v>
      </c>
      <c r="P28">
        <f t="shared" si="11"/>
        <v>12180.18</v>
      </c>
      <c r="Q28">
        <f t="shared" si="12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>
        <f t="shared" si="16"/>
        <v>0</v>
      </c>
      <c r="V28">
        <f t="shared" si="17"/>
        <v>0</v>
      </c>
      <c r="W28">
        <f t="shared" si="18"/>
        <v>4.12</v>
      </c>
      <c r="X28">
        <f t="shared" si="19"/>
        <v>0</v>
      </c>
      <c r="Y28">
        <f t="shared" si="20"/>
        <v>0</v>
      </c>
      <c r="AA28">
        <v>45926640</v>
      </c>
      <c r="AB28">
        <f t="shared" si="21"/>
        <v>1095.34</v>
      </c>
      <c r="AC28">
        <f t="shared" si="22"/>
        <v>1095.34</v>
      </c>
      <c r="AD28">
        <f>ROUND((((ET28)-(EU28))+AE28),6)</f>
        <v>0</v>
      </c>
      <c r="AE28">
        <f>ROUND((EU28),6)</f>
        <v>0</v>
      </c>
      <c r="AF28">
        <f>ROUND((EV28),6)</f>
        <v>0</v>
      </c>
      <c r="AG28">
        <f t="shared" si="23"/>
        <v>0</v>
      </c>
      <c r="AH28">
        <f>(EW28)</f>
        <v>0</v>
      </c>
      <c r="AI28">
        <f>(EX28)</f>
        <v>0</v>
      </c>
      <c r="AJ28">
        <f t="shared" si="24"/>
        <v>2.06</v>
      </c>
      <c r="AK28">
        <v>1095.34</v>
      </c>
      <c r="AL28">
        <v>1095.34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2.06</v>
      </c>
      <c r="AT28">
        <v>74</v>
      </c>
      <c r="AU28">
        <v>48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5.56</v>
      </c>
      <c r="BH28">
        <v>3</v>
      </c>
      <c r="BI28">
        <v>1</v>
      </c>
      <c r="BJ28" t="s">
        <v>45</v>
      </c>
      <c r="BM28">
        <v>10001</v>
      </c>
      <c r="BN28">
        <v>0</v>
      </c>
      <c r="BO28" t="s">
        <v>42</v>
      </c>
      <c r="BP28">
        <v>1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118</v>
      </c>
      <c r="CA28">
        <v>63</v>
      </c>
      <c r="CF28">
        <v>0</v>
      </c>
      <c r="CG28">
        <v>0</v>
      </c>
      <c r="CM28">
        <v>0</v>
      </c>
      <c r="CO28">
        <v>0</v>
      </c>
      <c r="CP28">
        <f t="shared" si="25"/>
        <v>12180.18</v>
      </c>
      <c r="CQ28">
        <f t="shared" si="26"/>
        <v>6090.090399999999</v>
      </c>
      <c r="CR28">
        <f t="shared" si="27"/>
        <v>0</v>
      </c>
      <c r="CS28">
        <f t="shared" si="28"/>
        <v>0</v>
      </c>
      <c r="CT28">
        <f t="shared" si="29"/>
        <v>0</v>
      </c>
      <c r="CU28">
        <f t="shared" si="30"/>
        <v>0</v>
      </c>
      <c r="CV28">
        <f t="shared" si="31"/>
        <v>0</v>
      </c>
      <c r="CW28">
        <f t="shared" si="32"/>
        <v>0</v>
      </c>
      <c r="CX28">
        <f t="shared" si="33"/>
        <v>2.06</v>
      </c>
      <c r="CY28">
        <f t="shared" si="34"/>
        <v>0</v>
      </c>
      <c r="CZ28">
        <f t="shared" si="35"/>
        <v>0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44</v>
      </c>
      <c r="DW28" t="s">
        <v>44</v>
      </c>
      <c r="DX28">
        <v>1</v>
      </c>
      <c r="EE28">
        <v>41567134</v>
      </c>
      <c r="EF28">
        <v>2</v>
      </c>
      <c r="EG28" t="s">
        <v>21</v>
      </c>
      <c r="EH28">
        <v>0</v>
      </c>
      <c r="EJ28">
        <v>1</v>
      </c>
      <c r="EK28">
        <v>10001</v>
      </c>
      <c r="EL28" t="s">
        <v>22</v>
      </c>
      <c r="EM28" t="s">
        <v>23</v>
      </c>
      <c r="EQ28">
        <v>0</v>
      </c>
      <c r="ER28">
        <v>1095.34</v>
      </c>
      <c r="ES28">
        <v>1095.34</v>
      </c>
      <c r="ET28">
        <v>0</v>
      </c>
      <c r="EU28">
        <v>0</v>
      </c>
      <c r="EV28">
        <v>0</v>
      </c>
      <c r="EW28">
        <v>0</v>
      </c>
      <c r="EX28">
        <v>0</v>
      </c>
      <c r="FQ28">
        <v>0</v>
      </c>
      <c r="FR28">
        <f t="shared" si="36"/>
        <v>0</v>
      </c>
      <c r="FS28">
        <v>0</v>
      </c>
      <c r="FT28" t="s">
        <v>25</v>
      </c>
      <c r="FU28" t="s">
        <v>26</v>
      </c>
      <c r="FX28">
        <v>74.34</v>
      </c>
      <c r="FY28">
        <v>48.195</v>
      </c>
      <c r="GD28">
        <v>0</v>
      </c>
      <c r="GF28">
        <v>1052317703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37"/>
        <v>0</v>
      </c>
      <c r="GM28">
        <f t="shared" si="38"/>
        <v>12180.18</v>
      </c>
      <c r="GN28">
        <f t="shared" si="39"/>
        <v>12180.18</v>
      </c>
      <c r="GO28">
        <f t="shared" si="40"/>
        <v>0</v>
      </c>
      <c r="GP28">
        <f t="shared" si="41"/>
        <v>0</v>
      </c>
      <c r="GT28">
        <v>0</v>
      </c>
      <c r="GU28">
        <v>1</v>
      </c>
      <c r="GV28">
        <v>0</v>
      </c>
      <c r="GW28">
        <v>0</v>
      </c>
      <c r="GX28">
        <f t="shared" si="42"/>
        <v>0</v>
      </c>
    </row>
    <row r="29" spans="1:206" ht="12.75">
      <c r="A29">
        <v>17</v>
      </c>
      <c r="B29">
        <v>1</v>
      </c>
      <c r="C29">
        <f>ROW(SmtRes!A40)</f>
        <v>40</v>
      </c>
      <c r="D29">
        <f>ROW(EtalonRes!A40)</f>
        <v>40</v>
      </c>
      <c r="E29" t="s">
        <v>46</v>
      </c>
      <c r="F29" t="s">
        <v>47</v>
      </c>
      <c r="G29" t="s">
        <v>48</v>
      </c>
      <c r="H29" t="s">
        <v>49</v>
      </c>
      <c r="I29">
        <f>ROUND(20/100,9)</f>
        <v>0.2</v>
      </c>
      <c r="J29">
        <v>0</v>
      </c>
      <c r="O29">
        <f t="shared" si="10"/>
        <v>1199.93</v>
      </c>
      <c r="P29">
        <f t="shared" si="11"/>
        <v>725.03</v>
      </c>
      <c r="Q29">
        <f t="shared" si="12"/>
        <v>9.08</v>
      </c>
      <c r="R29">
        <f t="shared" si="13"/>
        <v>0</v>
      </c>
      <c r="S29">
        <f t="shared" si="14"/>
        <v>465.82</v>
      </c>
      <c r="T29">
        <f t="shared" si="15"/>
        <v>0</v>
      </c>
      <c r="U29">
        <f t="shared" si="16"/>
        <v>1.7986000000000002</v>
      </c>
      <c r="V29">
        <f t="shared" si="17"/>
        <v>0</v>
      </c>
      <c r="W29">
        <f t="shared" si="18"/>
        <v>0</v>
      </c>
      <c r="X29">
        <f t="shared" si="19"/>
        <v>344.71</v>
      </c>
      <c r="Y29">
        <f t="shared" si="20"/>
        <v>223.59</v>
      </c>
      <c r="AA29">
        <v>45926640</v>
      </c>
      <c r="AB29">
        <f t="shared" si="21"/>
        <v>526.496</v>
      </c>
      <c r="AC29">
        <f t="shared" si="22"/>
        <v>448.66</v>
      </c>
      <c r="AD29">
        <f>ROUND(((((ET29*1.25))-((EU29*1.25)))+AE29),6)</f>
        <v>4.3625</v>
      </c>
      <c r="AE29">
        <f>ROUND(((EU29*1.25)),6)</f>
        <v>0</v>
      </c>
      <c r="AF29">
        <f>ROUND(((EV29*1.15)),6)</f>
        <v>73.4735</v>
      </c>
      <c r="AG29">
        <f t="shared" si="23"/>
        <v>0</v>
      </c>
      <c r="AH29">
        <f>((EW29*1.15))</f>
        <v>8.993</v>
      </c>
      <c r="AI29">
        <f>((EX29*1.25))</f>
        <v>0</v>
      </c>
      <c r="AJ29">
        <f t="shared" si="24"/>
        <v>0</v>
      </c>
      <c r="AK29">
        <v>516.04</v>
      </c>
      <c r="AL29">
        <v>448.66</v>
      </c>
      <c r="AM29">
        <v>3.49</v>
      </c>
      <c r="AN29">
        <v>0</v>
      </c>
      <c r="AO29">
        <v>63.89</v>
      </c>
      <c r="AP29">
        <v>0</v>
      </c>
      <c r="AQ29">
        <v>7.82</v>
      </c>
      <c r="AR29">
        <v>0</v>
      </c>
      <c r="AS29">
        <v>0</v>
      </c>
      <c r="AT29">
        <v>74</v>
      </c>
      <c r="AU29">
        <v>48</v>
      </c>
      <c r="AV29">
        <v>1</v>
      </c>
      <c r="AW29">
        <v>1</v>
      </c>
      <c r="AZ29">
        <v>1</v>
      </c>
      <c r="BA29">
        <v>31.7</v>
      </c>
      <c r="BB29">
        <v>10.41</v>
      </c>
      <c r="BC29">
        <v>8.08</v>
      </c>
      <c r="BH29">
        <v>0</v>
      </c>
      <c r="BI29">
        <v>1</v>
      </c>
      <c r="BJ29" t="s">
        <v>50</v>
      </c>
      <c r="BM29">
        <v>10001</v>
      </c>
      <c r="BN29">
        <v>0</v>
      </c>
      <c r="BO29" t="s">
        <v>47</v>
      </c>
      <c r="BP29">
        <v>1</v>
      </c>
      <c r="BQ29">
        <v>2</v>
      </c>
      <c r="BR29">
        <v>0</v>
      </c>
      <c r="BS29">
        <v>31.7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118</v>
      </c>
      <c r="CA29">
        <v>63</v>
      </c>
      <c r="CF29">
        <v>0</v>
      </c>
      <c r="CG29">
        <v>0</v>
      </c>
      <c r="CM29">
        <v>0</v>
      </c>
      <c r="CN29" t="s">
        <v>711</v>
      </c>
      <c r="CO29">
        <v>0</v>
      </c>
      <c r="CP29">
        <f t="shared" si="25"/>
        <v>1199.93</v>
      </c>
      <c r="CQ29">
        <f t="shared" si="26"/>
        <v>3625.1728000000003</v>
      </c>
      <c r="CR29">
        <f t="shared" si="27"/>
        <v>45.413624999999996</v>
      </c>
      <c r="CS29">
        <f t="shared" si="28"/>
        <v>0</v>
      </c>
      <c r="CT29">
        <f t="shared" si="29"/>
        <v>2329.10995</v>
      </c>
      <c r="CU29">
        <f t="shared" si="30"/>
        <v>0</v>
      </c>
      <c r="CV29">
        <f t="shared" si="31"/>
        <v>8.993</v>
      </c>
      <c r="CW29">
        <f t="shared" si="32"/>
        <v>0</v>
      </c>
      <c r="CX29">
        <f t="shared" si="33"/>
        <v>0</v>
      </c>
      <c r="CY29">
        <f t="shared" si="34"/>
        <v>344.7068</v>
      </c>
      <c r="CZ29">
        <f t="shared" si="35"/>
        <v>223.5936</v>
      </c>
      <c r="DE29" t="s">
        <v>19</v>
      </c>
      <c r="DF29" t="s">
        <v>19</v>
      </c>
      <c r="DG29" t="s">
        <v>20</v>
      </c>
      <c r="DI29" t="s">
        <v>20</v>
      </c>
      <c r="DJ29" t="s">
        <v>19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49</v>
      </c>
      <c r="DW29" t="s">
        <v>49</v>
      </c>
      <c r="DX29">
        <v>1</v>
      </c>
      <c r="EE29">
        <v>41567134</v>
      </c>
      <c r="EF29">
        <v>2</v>
      </c>
      <c r="EG29" t="s">
        <v>21</v>
      </c>
      <c r="EH29">
        <v>0</v>
      </c>
      <c r="EJ29">
        <v>1</v>
      </c>
      <c r="EK29">
        <v>10001</v>
      </c>
      <c r="EL29" t="s">
        <v>22</v>
      </c>
      <c r="EM29" t="s">
        <v>23</v>
      </c>
      <c r="EO29" t="s">
        <v>24</v>
      </c>
      <c r="EQ29">
        <v>0</v>
      </c>
      <c r="ER29">
        <v>516.04</v>
      </c>
      <c r="ES29">
        <v>448.66</v>
      </c>
      <c r="ET29">
        <v>3.49</v>
      </c>
      <c r="EU29">
        <v>0</v>
      </c>
      <c r="EV29">
        <v>63.89</v>
      </c>
      <c r="EW29">
        <v>7.82</v>
      </c>
      <c r="EX29">
        <v>0</v>
      </c>
      <c r="EY29">
        <v>0</v>
      </c>
      <c r="FQ29">
        <v>0</v>
      </c>
      <c r="FR29">
        <f t="shared" si="36"/>
        <v>0</v>
      </c>
      <c r="FS29">
        <v>0</v>
      </c>
      <c r="FT29" t="s">
        <v>25</v>
      </c>
      <c r="FU29" t="s">
        <v>26</v>
      </c>
      <c r="FX29">
        <v>74.34</v>
      </c>
      <c r="FY29">
        <v>48.195</v>
      </c>
      <c r="GD29">
        <v>0</v>
      </c>
      <c r="GF29">
        <v>-181924980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37"/>
        <v>0</v>
      </c>
      <c r="GM29">
        <f t="shared" si="38"/>
        <v>1768.23</v>
      </c>
      <c r="GN29">
        <f t="shared" si="39"/>
        <v>1768.23</v>
      </c>
      <c r="GO29">
        <f t="shared" si="40"/>
        <v>0</v>
      </c>
      <c r="GP29">
        <f t="shared" si="41"/>
        <v>0</v>
      </c>
      <c r="GT29">
        <v>0</v>
      </c>
      <c r="GU29">
        <v>1</v>
      </c>
      <c r="GV29">
        <v>0</v>
      </c>
      <c r="GW29">
        <v>0</v>
      </c>
      <c r="GX29">
        <f t="shared" si="42"/>
        <v>0</v>
      </c>
    </row>
    <row r="30" spans="1:206" ht="12.75">
      <c r="A30">
        <v>17</v>
      </c>
      <c r="B30">
        <v>1</v>
      </c>
      <c r="C30">
        <f>ROW(SmtRes!A52)</f>
        <v>52</v>
      </c>
      <c r="D30">
        <f>ROW(EtalonRes!A51)</f>
        <v>51</v>
      </c>
      <c r="E30" t="s">
        <v>51</v>
      </c>
      <c r="F30" t="s">
        <v>52</v>
      </c>
      <c r="G30" t="s">
        <v>53</v>
      </c>
      <c r="H30" t="s">
        <v>54</v>
      </c>
      <c r="I30">
        <f>ROUND(25/100,9)</f>
        <v>0.25</v>
      </c>
      <c r="J30">
        <v>0</v>
      </c>
      <c r="O30">
        <f t="shared" si="10"/>
        <v>27998.76</v>
      </c>
      <c r="P30">
        <f t="shared" si="11"/>
        <v>13900.7</v>
      </c>
      <c r="Q30">
        <f t="shared" si="12"/>
        <v>200.59</v>
      </c>
      <c r="R30">
        <f t="shared" si="13"/>
        <v>173.56</v>
      </c>
      <c r="S30">
        <f t="shared" si="14"/>
        <v>13897.47</v>
      </c>
      <c r="T30">
        <f t="shared" si="15"/>
        <v>0</v>
      </c>
      <c r="U30">
        <f t="shared" si="16"/>
        <v>47.756625</v>
      </c>
      <c r="V30">
        <f t="shared" si="17"/>
        <v>0.515625</v>
      </c>
      <c r="W30">
        <f t="shared" si="18"/>
        <v>0</v>
      </c>
      <c r="X30">
        <f t="shared" si="19"/>
        <v>9286.88</v>
      </c>
      <c r="Y30">
        <f t="shared" si="20"/>
        <v>5909.83</v>
      </c>
      <c r="AA30">
        <v>45926640</v>
      </c>
      <c r="AB30">
        <f t="shared" si="21"/>
        <v>13141.821</v>
      </c>
      <c r="AC30">
        <f t="shared" si="22"/>
        <v>11347.51</v>
      </c>
      <c r="AD30">
        <f>ROUND(((((ET30*1.25))-((EU30*1.25)))+AE30),6)</f>
        <v>40.6875</v>
      </c>
      <c r="AE30">
        <f>ROUND(((EU30*1.25)),6)</f>
        <v>21.9</v>
      </c>
      <c r="AF30">
        <f>ROUND(((EV30*1.15)),6)</f>
        <v>1753.6235</v>
      </c>
      <c r="AG30">
        <f t="shared" si="23"/>
        <v>0</v>
      </c>
      <c r="AH30">
        <f>((EW30*1.15))</f>
        <v>191.0265</v>
      </c>
      <c r="AI30">
        <f>((EX30*1.25))</f>
        <v>2.0625</v>
      </c>
      <c r="AJ30">
        <f t="shared" si="24"/>
        <v>0</v>
      </c>
      <c r="AK30">
        <v>12904.95</v>
      </c>
      <c r="AL30">
        <v>11347.51</v>
      </c>
      <c r="AM30">
        <v>32.55</v>
      </c>
      <c r="AN30">
        <v>17.52</v>
      </c>
      <c r="AO30">
        <v>1524.89</v>
      </c>
      <c r="AP30">
        <v>0</v>
      </c>
      <c r="AQ30">
        <v>166.11</v>
      </c>
      <c r="AR30">
        <v>1.65</v>
      </c>
      <c r="AS30">
        <v>0</v>
      </c>
      <c r="AT30">
        <v>66</v>
      </c>
      <c r="AU30">
        <v>42</v>
      </c>
      <c r="AV30">
        <v>1</v>
      </c>
      <c r="AW30">
        <v>1</v>
      </c>
      <c r="AZ30">
        <v>1</v>
      </c>
      <c r="BA30">
        <v>31.7</v>
      </c>
      <c r="BB30">
        <v>19.72</v>
      </c>
      <c r="BC30">
        <v>4.9</v>
      </c>
      <c r="BH30">
        <v>0</v>
      </c>
      <c r="BI30">
        <v>1</v>
      </c>
      <c r="BJ30" t="s">
        <v>55</v>
      </c>
      <c r="BM30">
        <v>15001</v>
      </c>
      <c r="BN30">
        <v>0</v>
      </c>
      <c r="BO30" t="s">
        <v>52</v>
      </c>
      <c r="BP30">
        <v>1</v>
      </c>
      <c r="BQ30">
        <v>2</v>
      </c>
      <c r="BR30">
        <v>0</v>
      </c>
      <c r="BS30">
        <v>31.7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105</v>
      </c>
      <c r="CA30">
        <v>55</v>
      </c>
      <c r="CF30">
        <v>0</v>
      </c>
      <c r="CG30">
        <v>0</v>
      </c>
      <c r="CM30">
        <v>0</v>
      </c>
      <c r="CN30" t="s">
        <v>711</v>
      </c>
      <c r="CO30">
        <v>0</v>
      </c>
      <c r="CP30">
        <f t="shared" si="25"/>
        <v>27998.760000000002</v>
      </c>
      <c r="CQ30">
        <f t="shared" si="26"/>
        <v>55602.799000000006</v>
      </c>
      <c r="CR30">
        <f t="shared" si="27"/>
        <v>802.3575</v>
      </c>
      <c r="CS30">
        <f t="shared" si="28"/>
        <v>694.2299999999999</v>
      </c>
      <c r="CT30">
        <f t="shared" si="29"/>
        <v>55589.864949999996</v>
      </c>
      <c r="CU30">
        <f t="shared" si="30"/>
        <v>0</v>
      </c>
      <c r="CV30">
        <f t="shared" si="31"/>
        <v>191.0265</v>
      </c>
      <c r="CW30">
        <f t="shared" si="32"/>
        <v>2.0625</v>
      </c>
      <c r="CX30">
        <f t="shared" si="33"/>
        <v>0</v>
      </c>
      <c r="CY30">
        <f t="shared" si="34"/>
        <v>9286.8798</v>
      </c>
      <c r="CZ30">
        <f t="shared" si="35"/>
        <v>5909.8326</v>
      </c>
      <c r="DE30" t="s">
        <v>19</v>
      </c>
      <c r="DF30" t="s">
        <v>19</v>
      </c>
      <c r="DG30" t="s">
        <v>20</v>
      </c>
      <c r="DI30" t="s">
        <v>20</v>
      </c>
      <c r="DJ30" t="s">
        <v>19</v>
      </c>
      <c r="DN30">
        <v>0</v>
      </c>
      <c r="DO30">
        <v>0</v>
      </c>
      <c r="DP30">
        <v>1</v>
      </c>
      <c r="DQ30">
        <v>1</v>
      </c>
      <c r="DU30">
        <v>1013</v>
      </c>
      <c r="DV30" t="s">
        <v>54</v>
      </c>
      <c r="DW30" t="s">
        <v>54</v>
      </c>
      <c r="DX30">
        <v>1</v>
      </c>
      <c r="EE30">
        <v>41567160</v>
      </c>
      <c r="EF30">
        <v>2</v>
      </c>
      <c r="EG30" t="s">
        <v>21</v>
      </c>
      <c r="EH30">
        <v>0</v>
      </c>
      <c r="EJ30">
        <v>1</v>
      </c>
      <c r="EK30">
        <v>15001</v>
      </c>
      <c r="EL30" t="s">
        <v>56</v>
      </c>
      <c r="EM30" t="s">
        <v>57</v>
      </c>
      <c r="EO30" t="s">
        <v>24</v>
      </c>
      <c r="EQ30">
        <v>0</v>
      </c>
      <c r="ER30">
        <v>12904.95</v>
      </c>
      <c r="ES30">
        <v>11347.51</v>
      </c>
      <c r="ET30">
        <v>32.55</v>
      </c>
      <c r="EU30">
        <v>17.52</v>
      </c>
      <c r="EV30">
        <v>1524.89</v>
      </c>
      <c r="EW30">
        <v>166.11</v>
      </c>
      <c r="EX30">
        <v>1.65</v>
      </c>
      <c r="EY30">
        <v>0</v>
      </c>
      <c r="FQ30">
        <v>0</v>
      </c>
      <c r="FR30">
        <f t="shared" si="36"/>
        <v>0</v>
      </c>
      <c r="FS30">
        <v>0</v>
      </c>
      <c r="FT30" t="s">
        <v>25</v>
      </c>
      <c r="FU30" t="s">
        <v>26</v>
      </c>
      <c r="FX30">
        <v>66.15</v>
      </c>
      <c r="FY30">
        <v>42.075</v>
      </c>
      <c r="GD30">
        <v>0</v>
      </c>
      <c r="GF30">
        <v>58322970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37"/>
        <v>0</v>
      </c>
      <c r="GM30">
        <f t="shared" si="38"/>
        <v>43195.47</v>
      </c>
      <c r="GN30">
        <f t="shared" si="39"/>
        <v>43195.47</v>
      </c>
      <c r="GO30">
        <f t="shared" si="40"/>
        <v>0</v>
      </c>
      <c r="GP30">
        <f t="shared" si="41"/>
        <v>0</v>
      </c>
      <c r="GT30">
        <v>0</v>
      </c>
      <c r="GU30">
        <v>1</v>
      </c>
      <c r="GV30">
        <v>0</v>
      </c>
      <c r="GW30">
        <v>0</v>
      </c>
      <c r="GX30">
        <f t="shared" si="42"/>
        <v>0</v>
      </c>
    </row>
    <row r="31" spans="1:206" ht="12.75">
      <c r="A31">
        <v>18</v>
      </c>
      <c r="B31">
        <v>1</v>
      </c>
      <c r="C31">
        <v>46</v>
      </c>
      <c r="E31" t="s">
        <v>58</v>
      </c>
      <c r="F31" t="s">
        <v>59</v>
      </c>
      <c r="G31" t="s">
        <v>60</v>
      </c>
      <c r="H31" t="s">
        <v>30</v>
      </c>
      <c r="I31">
        <f>I30*J31</f>
        <v>-24.75</v>
      </c>
      <c r="J31">
        <v>-99</v>
      </c>
      <c r="O31">
        <f t="shared" si="10"/>
        <v>-8632.35</v>
      </c>
      <c r="P31">
        <f t="shared" si="11"/>
        <v>-8632.35</v>
      </c>
      <c r="Q31">
        <f t="shared" si="12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>
        <f t="shared" si="16"/>
        <v>0</v>
      </c>
      <c r="V31">
        <f t="shared" si="17"/>
        <v>0</v>
      </c>
      <c r="W31">
        <f t="shared" si="18"/>
        <v>0</v>
      </c>
      <c r="X31">
        <f t="shared" si="19"/>
        <v>0</v>
      </c>
      <c r="Y31">
        <f t="shared" si="20"/>
        <v>0</v>
      </c>
      <c r="AA31">
        <v>45926640</v>
      </c>
      <c r="AB31">
        <f t="shared" si="21"/>
        <v>71.18</v>
      </c>
      <c r="AC31">
        <f t="shared" si="22"/>
        <v>71.18</v>
      </c>
      <c r="AD31">
        <f>ROUND((((ET31)-(EU31))+AE31),6)</f>
        <v>0</v>
      </c>
      <c r="AE31">
        <f>ROUND((EU31),6)</f>
        <v>0</v>
      </c>
      <c r="AF31">
        <f>ROUND((EV31),6)</f>
        <v>0</v>
      </c>
      <c r="AG31">
        <f t="shared" si="23"/>
        <v>0</v>
      </c>
      <c r="AH31">
        <f>(EW31)</f>
        <v>0</v>
      </c>
      <c r="AI31">
        <f>(EX31)</f>
        <v>0</v>
      </c>
      <c r="AJ31">
        <f t="shared" si="24"/>
        <v>0</v>
      </c>
      <c r="AK31">
        <v>71.18</v>
      </c>
      <c r="AL31">
        <v>71.18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66</v>
      </c>
      <c r="AU31">
        <v>42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4.9</v>
      </c>
      <c r="BH31">
        <v>3</v>
      </c>
      <c r="BI31">
        <v>1</v>
      </c>
      <c r="BJ31" t="s">
        <v>61</v>
      </c>
      <c r="BM31">
        <v>15001</v>
      </c>
      <c r="BN31">
        <v>0</v>
      </c>
      <c r="BO31" t="s">
        <v>59</v>
      </c>
      <c r="BP31">
        <v>1</v>
      </c>
      <c r="BQ31">
        <v>2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105</v>
      </c>
      <c r="CA31">
        <v>55</v>
      </c>
      <c r="CF31">
        <v>0</v>
      </c>
      <c r="CG31">
        <v>0</v>
      </c>
      <c r="CM31">
        <v>0</v>
      </c>
      <c r="CO31">
        <v>0</v>
      </c>
      <c r="CP31">
        <f t="shared" si="25"/>
        <v>-8632.35</v>
      </c>
      <c r="CQ31">
        <f t="shared" si="26"/>
        <v>348.78200000000004</v>
      </c>
      <c r="CR31">
        <f t="shared" si="27"/>
        <v>0</v>
      </c>
      <c r="CS31">
        <f t="shared" si="28"/>
        <v>0</v>
      </c>
      <c r="CT31">
        <f t="shared" si="29"/>
        <v>0</v>
      </c>
      <c r="CU31">
        <f t="shared" si="30"/>
        <v>0</v>
      </c>
      <c r="CV31">
        <f t="shared" si="31"/>
        <v>0</v>
      </c>
      <c r="CW31">
        <f t="shared" si="32"/>
        <v>0</v>
      </c>
      <c r="CX31">
        <f t="shared" si="33"/>
        <v>0</v>
      </c>
      <c r="CY31">
        <f t="shared" si="34"/>
        <v>0</v>
      </c>
      <c r="CZ31">
        <f t="shared" si="35"/>
        <v>0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30</v>
      </c>
      <c r="DW31" t="s">
        <v>30</v>
      </c>
      <c r="DX31">
        <v>1</v>
      </c>
      <c r="EE31">
        <v>41567160</v>
      </c>
      <c r="EF31">
        <v>2</v>
      </c>
      <c r="EG31" t="s">
        <v>21</v>
      </c>
      <c r="EH31">
        <v>0</v>
      </c>
      <c r="EJ31">
        <v>1</v>
      </c>
      <c r="EK31">
        <v>15001</v>
      </c>
      <c r="EL31" t="s">
        <v>56</v>
      </c>
      <c r="EM31" t="s">
        <v>57</v>
      </c>
      <c r="EQ31">
        <v>0</v>
      </c>
      <c r="ER31">
        <v>71.18</v>
      </c>
      <c r="ES31">
        <v>71.18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36"/>
        <v>0</v>
      </c>
      <c r="FS31">
        <v>0</v>
      </c>
      <c r="FT31" t="s">
        <v>25</v>
      </c>
      <c r="FU31" t="s">
        <v>26</v>
      </c>
      <c r="FX31">
        <v>66.15</v>
      </c>
      <c r="FY31">
        <v>42.075</v>
      </c>
      <c r="GD31">
        <v>0</v>
      </c>
      <c r="GF31">
        <v>-554123694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37"/>
        <v>0</v>
      </c>
      <c r="GM31">
        <f t="shared" si="38"/>
        <v>-8632.35</v>
      </c>
      <c r="GN31">
        <f t="shared" si="39"/>
        <v>-8632.35</v>
      </c>
      <c r="GO31">
        <f t="shared" si="40"/>
        <v>0</v>
      </c>
      <c r="GP31">
        <f t="shared" si="41"/>
        <v>0</v>
      </c>
      <c r="GT31">
        <v>0</v>
      </c>
      <c r="GU31">
        <v>1</v>
      </c>
      <c r="GV31">
        <v>0</v>
      </c>
      <c r="GW31">
        <v>0</v>
      </c>
      <c r="GX31">
        <f t="shared" si="42"/>
        <v>0</v>
      </c>
    </row>
    <row r="32" spans="1:206" ht="12.75">
      <c r="A32">
        <v>18</v>
      </c>
      <c r="B32">
        <v>1</v>
      </c>
      <c r="C32">
        <v>47</v>
      </c>
      <c r="E32" t="s">
        <v>62</v>
      </c>
      <c r="F32" t="s">
        <v>63</v>
      </c>
      <c r="G32" t="s">
        <v>64</v>
      </c>
      <c r="H32" t="s">
        <v>30</v>
      </c>
      <c r="I32">
        <f>I30*J32</f>
        <v>24.75</v>
      </c>
      <c r="J32">
        <v>99</v>
      </c>
      <c r="O32">
        <f t="shared" si="10"/>
        <v>11210.51</v>
      </c>
      <c r="P32">
        <f t="shared" si="11"/>
        <v>11210.51</v>
      </c>
      <c r="Q32">
        <f t="shared" si="12"/>
        <v>0</v>
      </c>
      <c r="R32">
        <f t="shared" si="13"/>
        <v>0</v>
      </c>
      <c r="S32">
        <f t="shared" si="14"/>
        <v>0</v>
      </c>
      <c r="T32">
        <f t="shared" si="15"/>
        <v>0</v>
      </c>
      <c r="U32">
        <f t="shared" si="16"/>
        <v>0</v>
      </c>
      <c r="V32">
        <f t="shared" si="17"/>
        <v>0</v>
      </c>
      <c r="W32">
        <f t="shared" si="18"/>
        <v>0</v>
      </c>
      <c r="X32">
        <f t="shared" si="19"/>
        <v>0</v>
      </c>
      <c r="Y32">
        <f t="shared" si="20"/>
        <v>0</v>
      </c>
      <c r="AA32">
        <v>45926640</v>
      </c>
      <c r="AB32">
        <f t="shared" si="21"/>
        <v>452.95</v>
      </c>
      <c r="AC32">
        <f t="shared" si="22"/>
        <v>452.95</v>
      </c>
      <c r="AD32">
        <f>ROUND((((ET32)-(EU32))+AE32),6)</f>
        <v>0</v>
      </c>
      <c r="AE32">
        <f>ROUND((EU32),6)</f>
        <v>0</v>
      </c>
      <c r="AF32">
        <f>ROUND((EV32),6)</f>
        <v>0</v>
      </c>
      <c r="AG32">
        <f t="shared" si="23"/>
        <v>0</v>
      </c>
      <c r="AH32">
        <f>(EW32)</f>
        <v>0</v>
      </c>
      <c r="AI32">
        <f>(EX32)</f>
        <v>0</v>
      </c>
      <c r="AJ32">
        <f t="shared" si="24"/>
        <v>0</v>
      </c>
      <c r="AK32">
        <v>452.95</v>
      </c>
      <c r="AL32">
        <v>452.95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66</v>
      </c>
      <c r="AU32">
        <v>42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3</v>
      </c>
      <c r="BI32">
        <v>1</v>
      </c>
      <c r="BJ32" t="s">
        <v>65</v>
      </c>
      <c r="BM32">
        <v>15001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105</v>
      </c>
      <c r="CA32">
        <v>55</v>
      </c>
      <c r="CF32">
        <v>0</v>
      </c>
      <c r="CG32">
        <v>0</v>
      </c>
      <c r="CM32">
        <v>0</v>
      </c>
      <c r="CO32">
        <v>0</v>
      </c>
      <c r="CP32">
        <f t="shared" si="25"/>
        <v>11210.51</v>
      </c>
      <c r="CQ32">
        <f t="shared" si="26"/>
        <v>452.95</v>
      </c>
      <c r="CR32">
        <f t="shared" si="27"/>
        <v>0</v>
      </c>
      <c r="CS32">
        <f t="shared" si="28"/>
        <v>0</v>
      </c>
      <c r="CT32">
        <f t="shared" si="29"/>
        <v>0</v>
      </c>
      <c r="CU32">
        <f t="shared" si="30"/>
        <v>0</v>
      </c>
      <c r="CV32">
        <f t="shared" si="31"/>
        <v>0</v>
      </c>
      <c r="CW32">
        <f t="shared" si="32"/>
        <v>0</v>
      </c>
      <c r="CX32">
        <f t="shared" si="33"/>
        <v>0</v>
      </c>
      <c r="CY32">
        <f t="shared" si="34"/>
        <v>0</v>
      </c>
      <c r="CZ32">
        <f t="shared" si="35"/>
        <v>0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30</v>
      </c>
      <c r="DW32" t="s">
        <v>30</v>
      </c>
      <c r="DX32">
        <v>1</v>
      </c>
      <c r="EE32">
        <v>41567160</v>
      </c>
      <c r="EF32">
        <v>2</v>
      </c>
      <c r="EG32" t="s">
        <v>21</v>
      </c>
      <c r="EH32">
        <v>0</v>
      </c>
      <c r="EJ32">
        <v>1</v>
      </c>
      <c r="EK32">
        <v>15001</v>
      </c>
      <c r="EL32" t="s">
        <v>56</v>
      </c>
      <c r="EM32" t="s">
        <v>57</v>
      </c>
      <c r="EQ32">
        <v>0</v>
      </c>
      <c r="ER32">
        <v>452.95</v>
      </c>
      <c r="ES32">
        <v>452.95</v>
      </c>
      <c r="ET32">
        <v>0</v>
      </c>
      <c r="EU32">
        <v>0</v>
      </c>
      <c r="EV32">
        <v>0</v>
      </c>
      <c r="EW32">
        <v>0</v>
      </c>
      <c r="EX32">
        <v>0</v>
      </c>
      <c r="FQ32">
        <v>0</v>
      </c>
      <c r="FR32">
        <f t="shared" si="36"/>
        <v>0</v>
      </c>
      <c r="FS32">
        <v>0</v>
      </c>
      <c r="FT32" t="s">
        <v>25</v>
      </c>
      <c r="FU32" t="s">
        <v>26</v>
      </c>
      <c r="FX32">
        <v>66.15</v>
      </c>
      <c r="FY32">
        <v>42.075</v>
      </c>
      <c r="GD32">
        <v>0</v>
      </c>
      <c r="GF32">
        <v>90372741</v>
      </c>
      <c r="GG32">
        <v>2</v>
      </c>
      <c r="GH32">
        <v>1</v>
      </c>
      <c r="GI32">
        <v>-2</v>
      </c>
      <c r="GJ32">
        <v>0</v>
      </c>
      <c r="GK32">
        <f>ROUND(R32*(R12)/100,2)</f>
        <v>0</v>
      </c>
      <c r="GL32">
        <f t="shared" si="37"/>
        <v>0</v>
      </c>
      <c r="GM32">
        <f t="shared" si="38"/>
        <v>11210.51</v>
      </c>
      <c r="GN32">
        <f t="shared" si="39"/>
        <v>11210.51</v>
      </c>
      <c r="GO32">
        <f t="shared" si="40"/>
        <v>0</v>
      </c>
      <c r="GP32">
        <f t="shared" si="41"/>
        <v>0</v>
      </c>
      <c r="GT32">
        <v>0</v>
      </c>
      <c r="GU32">
        <v>1</v>
      </c>
      <c r="GV32">
        <v>0</v>
      </c>
      <c r="GW32">
        <v>0</v>
      </c>
      <c r="GX32">
        <f t="shared" si="42"/>
        <v>0</v>
      </c>
    </row>
    <row r="33" spans="1:206" ht="12.75">
      <c r="A33">
        <v>17</v>
      </c>
      <c r="B33">
        <v>1</v>
      </c>
      <c r="C33">
        <f>ROW(SmtRes!A64)</f>
        <v>64</v>
      </c>
      <c r="D33">
        <f>ROW(EtalonRes!A63)</f>
        <v>63</v>
      </c>
      <c r="E33" t="s">
        <v>66</v>
      </c>
      <c r="F33" t="s">
        <v>67</v>
      </c>
      <c r="G33" t="s">
        <v>68</v>
      </c>
      <c r="H33" t="s">
        <v>17</v>
      </c>
      <c r="I33">
        <f>ROUND(4.1/100,9)</f>
        <v>0.041</v>
      </c>
      <c r="J33">
        <v>0</v>
      </c>
      <c r="O33">
        <f t="shared" si="10"/>
        <v>2796.48</v>
      </c>
      <c r="P33">
        <f t="shared" si="11"/>
        <v>1689.26</v>
      </c>
      <c r="Q33">
        <f t="shared" si="12"/>
        <v>106.17</v>
      </c>
      <c r="R33">
        <f t="shared" si="13"/>
        <v>74.73</v>
      </c>
      <c r="S33">
        <f t="shared" si="14"/>
        <v>1001.05</v>
      </c>
      <c r="T33">
        <f t="shared" si="15"/>
        <v>0</v>
      </c>
      <c r="U33">
        <f t="shared" si="16"/>
        <v>3.6131044999999995</v>
      </c>
      <c r="V33">
        <f t="shared" si="17"/>
        <v>0.216275</v>
      </c>
      <c r="W33">
        <f t="shared" si="18"/>
        <v>0</v>
      </c>
      <c r="X33">
        <f t="shared" si="19"/>
        <v>828.35</v>
      </c>
      <c r="Y33">
        <f t="shared" si="20"/>
        <v>613.19</v>
      </c>
      <c r="AA33">
        <v>45926640</v>
      </c>
      <c r="AB33">
        <f t="shared" si="21"/>
        <v>10010.465</v>
      </c>
      <c r="AC33">
        <f t="shared" si="22"/>
        <v>9055.29</v>
      </c>
      <c r="AD33">
        <f>ROUND(((((ET33*1.25))-((EU33*1.25)))+AE33),6)</f>
        <v>184.9625</v>
      </c>
      <c r="AE33">
        <f>ROUND(((EU33*1.25)),6)</f>
        <v>57.5</v>
      </c>
      <c r="AF33">
        <f>ROUND(((EV33*1.15)),6)</f>
        <v>770.2125</v>
      </c>
      <c r="AG33">
        <f t="shared" si="23"/>
        <v>0</v>
      </c>
      <c r="AH33">
        <f>((EW33*1.15))</f>
        <v>88.12449999999998</v>
      </c>
      <c r="AI33">
        <f>((EX33*1.25))</f>
        <v>5.2749999999999995</v>
      </c>
      <c r="AJ33">
        <f t="shared" si="24"/>
        <v>0</v>
      </c>
      <c r="AK33">
        <v>9873.01</v>
      </c>
      <c r="AL33">
        <v>9055.29</v>
      </c>
      <c r="AM33">
        <v>147.97</v>
      </c>
      <c r="AN33">
        <v>46</v>
      </c>
      <c r="AO33">
        <v>669.75</v>
      </c>
      <c r="AP33">
        <v>0</v>
      </c>
      <c r="AQ33">
        <v>76.63</v>
      </c>
      <c r="AR33">
        <v>4.22</v>
      </c>
      <c r="AS33">
        <v>0</v>
      </c>
      <c r="AT33">
        <v>77</v>
      </c>
      <c r="AU33">
        <v>57</v>
      </c>
      <c r="AV33">
        <v>1</v>
      </c>
      <c r="AW33">
        <v>1</v>
      </c>
      <c r="AZ33">
        <v>1</v>
      </c>
      <c r="BA33">
        <v>31.7</v>
      </c>
      <c r="BB33">
        <v>14</v>
      </c>
      <c r="BC33">
        <v>4.55</v>
      </c>
      <c r="BH33">
        <v>0</v>
      </c>
      <c r="BI33">
        <v>1</v>
      </c>
      <c r="BJ33" t="s">
        <v>69</v>
      </c>
      <c r="BM33">
        <v>11001</v>
      </c>
      <c r="BN33">
        <v>0</v>
      </c>
      <c r="BO33" t="s">
        <v>67</v>
      </c>
      <c r="BP33">
        <v>1</v>
      </c>
      <c r="BQ33">
        <v>2</v>
      </c>
      <c r="BR33">
        <v>0</v>
      </c>
      <c r="BS33">
        <v>31.7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123</v>
      </c>
      <c r="CA33">
        <v>75</v>
      </c>
      <c r="CF33">
        <v>0</v>
      </c>
      <c r="CG33">
        <v>0</v>
      </c>
      <c r="CM33">
        <v>0</v>
      </c>
      <c r="CN33" t="s">
        <v>711</v>
      </c>
      <c r="CO33">
        <v>0</v>
      </c>
      <c r="CP33">
        <f t="shared" si="25"/>
        <v>2796.48</v>
      </c>
      <c r="CQ33">
        <f t="shared" si="26"/>
        <v>41201.569500000005</v>
      </c>
      <c r="CR33">
        <f t="shared" si="27"/>
        <v>2589.475</v>
      </c>
      <c r="CS33">
        <f t="shared" si="28"/>
        <v>1822.75</v>
      </c>
      <c r="CT33">
        <f t="shared" si="29"/>
        <v>24415.736249999998</v>
      </c>
      <c r="CU33">
        <f t="shared" si="30"/>
        <v>0</v>
      </c>
      <c r="CV33">
        <f t="shared" si="31"/>
        <v>88.12449999999998</v>
      </c>
      <c r="CW33">
        <f t="shared" si="32"/>
        <v>5.2749999999999995</v>
      </c>
      <c r="CX33">
        <f t="shared" si="33"/>
        <v>0</v>
      </c>
      <c r="CY33">
        <f t="shared" si="34"/>
        <v>828.3506</v>
      </c>
      <c r="CZ33">
        <f t="shared" si="35"/>
        <v>613.1946</v>
      </c>
      <c r="DE33" t="s">
        <v>19</v>
      </c>
      <c r="DF33" t="s">
        <v>19</v>
      </c>
      <c r="DG33" t="s">
        <v>20</v>
      </c>
      <c r="DI33" t="s">
        <v>20</v>
      </c>
      <c r="DJ33" t="s">
        <v>19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17</v>
      </c>
      <c r="DW33" t="s">
        <v>17</v>
      </c>
      <c r="DX33">
        <v>100</v>
      </c>
      <c r="EE33">
        <v>41567135</v>
      </c>
      <c r="EF33">
        <v>2</v>
      </c>
      <c r="EG33" t="s">
        <v>21</v>
      </c>
      <c r="EH33">
        <v>0</v>
      </c>
      <c r="EJ33">
        <v>1</v>
      </c>
      <c r="EK33">
        <v>11001</v>
      </c>
      <c r="EL33" t="s">
        <v>70</v>
      </c>
      <c r="EM33" t="s">
        <v>71</v>
      </c>
      <c r="EO33" t="s">
        <v>24</v>
      </c>
      <c r="EQ33">
        <v>0</v>
      </c>
      <c r="ER33">
        <v>9873.01</v>
      </c>
      <c r="ES33">
        <v>9055.29</v>
      </c>
      <c r="ET33">
        <v>147.97</v>
      </c>
      <c r="EU33">
        <v>46</v>
      </c>
      <c r="EV33">
        <v>669.75</v>
      </c>
      <c r="EW33">
        <v>76.63</v>
      </c>
      <c r="EX33">
        <v>4.22</v>
      </c>
      <c r="EY33">
        <v>0</v>
      </c>
      <c r="FQ33">
        <v>0</v>
      </c>
      <c r="FR33">
        <f t="shared" si="36"/>
        <v>0</v>
      </c>
      <c r="FS33">
        <v>0</v>
      </c>
      <c r="FT33" t="s">
        <v>25</v>
      </c>
      <c r="FU33" t="s">
        <v>26</v>
      </c>
      <c r="FX33">
        <v>77.49</v>
      </c>
      <c r="FY33">
        <v>57.375</v>
      </c>
      <c r="GD33">
        <v>0</v>
      </c>
      <c r="GF33">
        <v>1032030498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37"/>
        <v>0</v>
      </c>
      <c r="GM33">
        <f t="shared" si="38"/>
        <v>4238.02</v>
      </c>
      <c r="GN33">
        <f t="shared" si="39"/>
        <v>4238.02</v>
      </c>
      <c r="GO33">
        <f t="shared" si="40"/>
        <v>0</v>
      </c>
      <c r="GP33">
        <f t="shared" si="41"/>
        <v>0</v>
      </c>
      <c r="GT33">
        <v>0</v>
      </c>
      <c r="GU33">
        <v>1</v>
      </c>
      <c r="GV33">
        <v>0</v>
      </c>
      <c r="GW33">
        <v>0</v>
      </c>
      <c r="GX33">
        <f t="shared" si="42"/>
        <v>0</v>
      </c>
    </row>
    <row r="34" spans="1:206" ht="12.75">
      <c r="A34">
        <v>17</v>
      </c>
      <c r="B34">
        <v>1</v>
      </c>
      <c r="C34">
        <f>ROW(SmtRes!A69)</f>
        <v>69</v>
      </c>
      <c r="D34">
        <f>ROW(EtalonRes!A68)</f>
        <v>68</v>
      </c>
      <c r="E34" t="s">
        <v>72</v>
      </c>
      <c r="F34" t="s">
        <v>73</v>
      </c>
      <c r="G34" t="s">
        <v>74</v>
      </c>
      <c r="H34" t="s">
        <v>75</v>
      </c>
      <c r="I34">
        <f>ROUND(5.7/100,9)</f>
        <v>0.057</v>
      </c>
      <c r="J34">
        <v>0</v>
      </c>
      <c r="O34">
        <f t="shared" si="10"/>
        <v>2407.62</v>
      </c>
      <c r="P34">
        <f t="shared" si="11"/>
        <v>1900.37</v>
      </c>
      <c r="Q34">
        <f t="shared" si="12"/>
        <v>7.03</v>
      </c>
      <c r="R34">
        <f t="shared" si="13"/>
        <v>0</v>
      </c>
      <c r="S34">
        <f t="shared" si="14"/>
        <v>500.22</v>
      </c>
      <c r="T34">
        <f t="shared" si="15"/>
        <v>0</v>
      </c>
      <c r="U34">
        <f t="shared" si="16"/>
        <v>1.6787354999999997</v>
      </c>
      <c r="V34">
        <f t="shared" si="17"/>
        <v>0</v>
      </c>
      <c r="W34">
        <f t="shared" si="18"/>
        <v>0</v>
      </c>
      <c r="X34">
        <f t="shared" si="19"/>
        <v>385.17</v>
      </c>
      <c r="Y34">
        <f t="shared" si="20"/>
        <v>285.13</v>
      </c>
      <c r="AA34">
        <v>45926640</v>
      </c>
      <c r="AB34">
        <f t="shared" si="21"/>
        <v>10806.007</v>
      </c>
      <c r="AC34">
        <f t="shared" si="22"/>
        <v>10517.28</v>
      </c>
      <c r="AD34">
        <f>ROUND(((((ET34*1.25))-((EU34*1.25)))+AE34),6)</f>
        <v>11.8875</v>
      </c>
      <c r="AE34">
        <f>ROUND(((EU34*1.25)),6)</f>
        <v>0</v>
      </c>
      <c r="AF34">
        <f>ROUND(((EV34*1.15)),6)</f>
        <v>276.8395</v>
      </c>
      <c r="AG34">
        <f t="shared" si="23"/>
        <v>0</v>
      </c>
      <c r="AH34">
        <f>((EW34*1.15))</f>
        <v>29.451499999999996</v>
      </c>
      <c r="AI34">
        <f>((EX34*1.25))</f>
        <v>0</v>
      </c>
      <c r="AJ34">
        <f t="shared" si="24"/>
        <v>0</v>
      </c>
      <c r="AK34">
        <v>10767.52</v>
      </c>
      <c r="AL34">
        <v>10517.28</v>
      </c>
      <c r="AM34">
        <v>9.51</v>
      </c>
      <c r="AN34">
        <v>0</v>
      </c>
      <c r="AO34">
        <v>240.73</v>
      </c>
      <c r="AP34">
        <v>0</v>
      </c>
      <c r="AQ34">
        <v>25.61</v>
      </c>
      <c r="AR34">
        <v>0</v>
      </c>
      <c r="AS34">
        <v>0</v>
      </c>
      <c r="AT34">
        <v>77</v>
      </c>
      <c r="AU34">
        <v>57</v>
      </c>
      <c r="AV34">
        <v>1</v>
      </c>
      <c r="AW34">
        <v>1</v>
      </c>
      <c r="AZ34">
        <v>1</v>
      </c>
      <c r="BA34">
        <v>31.7</v>
      </c>
      <c r="BB34">
        <v>10.38</v>
      </c>
      <c r="BC34">
        <v>3.17</v>
      </c>
      <c r="BH34">
        <v>0</v>
      </c>
      <c r="BI34">
        <v>1</v>
      </c>
      <c r="BJ34" t="s">
        <v>76</v>
      </c>
      <c r="BM34">
        <v>11001</v>
      </c>
      <c r="BN34">
        <v>0</v>
      </c>
      <c r="BO34" t="s">
        <v>73</v>
      </c>
      <c r="BP34">
        <v>1</v>
      </c>
      <c r="BQ34">
        <v>2</v>
      </c>
      <c r="BR34">
        <v>0</v>
      </c>
      <c r="BS34">
        <v>31.7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123</v>
      </c>
      <c r="CA34">
        <v>75</v>
      </c>
      <c r="CF34">
        <v>0</v>
      </c>
      <c r="CG34">
        <v>0</v>
      </c>
      <c r="CM34">
        <v>0</v>
      </c>
      <c r="CN34" t="s">
        <v>711</v>
      </c>
      <c r="CO34">
        <v>0</v>
      </c>
      <c r="CP34">
        <f t="shared" si="25"/>
        <v>2407.62</v>
      </c>
      <c r="CQ34">
        <f t="shared" si="26"/>
        <v>33339.7776</v>
      </c>
      <c r="CR34">
        <f t="shared" si="27"/>
        <v>123.39225</v>
      </c>
      <c r="CS34">
        <f t="shared" si="28"/>
        <v>0</v>
      </c>
      <c r="CT34">
        <f t="shared" si="29"/>
        <v>8775.81215</v>
      </c>
      <c r="CU34">
        <f t="shared" si="30"/>
        <v>0</v>
      </c>
      <c r="CV34">
        <f t="shared" si="31"/>
        <v>29.451499999999996</v>
      </c>
      <c r="CW34">
        <f t="shared" si="32"/>
        <v>0</v>
      </c>
      <c r="CX34">
        <f t="shared" si="33"/>
        <v>0</v>
      </c>
      <c r="CY34">
        <f t="shared" si="34"/>
        <v>385.1694</v>
      </c>
      <c r="CZ34">
        <f t="shared" si="35"/>
        <v>285.1254</v>
      </c>
      <c r="DE34" t="s">
        <v>19</v>
      </c>
      <c r="DF34" t="s">
        <v>19</v>
      </c>
      <c r="DG34" t="s">
        <v>20</v>
      </c>
      <c r="DI34" t="s">
        <v>20</v>
      </c>
      <c r="DJ34" t="s">
        <v>19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75</v>
      </c>
      <c r="DW34" t="s">
        <v>75</v>
      </c>
      <c r="DX34">
        <v>1</v>
      </c>
      <c r="EE34">
        <v>41567135</v>
      </c>
      <c r="EF34">
        <v>2</v>
      </c>
      <c r="EG34" t="s">
        <v>21</v>
      </c>
      <c r="EH34">
        <v>0</v>
      </c>
      <c r="EJ34">
        <v>1</v>
      </c>
      <c r="EK34">
        <v>11001</v>
      </c>
      <c r="EL34" t="s">
        <v>70</v>
      </c>
      <c r="EM34" t="s">
        <v>71</v>
      </c>
      <c r="EO34" t="s">
        <v>24</v>
      </c>
      <c r="EQ34">
        <v>0</v>
      </c>
      <c r="ER34">
        <v>10767.52</v>
      </c>
      <c r="ES34">
        <v>10517.28</v>
      </c>
      <c r="ET34">
        <v>9.51</v>
      </c>
      <c r="EU34">
        <v>0</v>
      </c>
      <c r="EV34">
        <v>240.73</v>
      </c>
      <c r="EW34">
        <v>25.61</v>
      </c>
      <c r="EX34">
        <v>0</v>
      </c>
      <c r="EY34">
        <v>0</v>
      </c>
      <c r="FQ34">
        <v>0</v>
      </c>
      <c r="FR34">
        <f t="shared" si="36"/>
        <v>0</v>
      </c>
      <c r="FS34">
        <v>0</v>
      </c>
      <c r="FT34" t="s">
        <v>25</v>
      </c>
      <c r="FU34" t="s">
        <v>26</v>
      </c>
      <c r="FX34">
        <v>77.49</v>
      </c>
      <c r="FY34">
        <v>57.375</v>
      </c>
      <c r="GD34">
        <v>0</v>
      </c>
      <c r="GF34">
        <v>687427109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37"/>
        <v>0</v>
      </c>
      <c r="GM34">
        <f t="shared" si="38"/>
        <v>3077.92</v>
      </c>
      <c r="GN34">
        <f t="shared" si="39"/>
        <v>3077.92</v>
      </c>
      <c r="GO34">
        <f t="shared" si="40"/>
        <v>0</v>
      </c>
      <c r="GP34">
        <f t="shared" si="41"/>
        <v>0</v>
      </c>
      <c r="GT34">
        <v>0</v>
      </c>
      <c r="GU34">
        <v>1</v>
      </c>
      <c r="GV34">
        <v>0</v>
      </c>
      <c r="GW34">
        <v>0</v>
      </c>
      <c r="GX34">
        <f t="shared" si="42"/>
        <v>0</v>
      </c>
    </row>
    <row r="35" spans="1:206" ht="12.75">
      <c r="A35">
        <v>17</v>
      </c>
      <c r="B35">
        <v>1</v>
      </c>
      <c r="C35">
        <f>ROW(SmtRes!A75)</f>
        <v>75</v>
      </c>
      <c r="D35">
        <f>ROW(EtalonRes!A74)</f>
        <v>74</v>
      </c>
      <c r="E35" t="s">
        <v>77</v>
      </c>
      <c r="F35" t="s">
        <v>78</v>
      </c>
      <c r="G35" t="s">
        <v>79</v>
      </c>
      <c r="H35" t="s">
        <v>80</v>
      </c>
      <c r="I35">
        <f>ROUND(11/100,9)</f>
        <v>0.11</v>
      </c>
      <c r="J35">
        <v>0</v>
      </c>
      <c r="O35">
        <f t="shared" si="10"/>
        <v>611.82</v>
      </c>
      <c r="P35">
        <f t="shared" si="11"/>
        <v>15.48</v>
      </c>
      <c r="Q35">
        <f t="shared" si="12"/>
        <v>13.16</v>
      </c>
      <c r="R35">
        <f t="shared" si="13"/>
        <v>0</v>
      </c>
      <c r="S35">
        <f t="shared" si="14"/>
        <v>583.18</v>
      </c>
      <c r="T35">
        <f t="shared" si="15"/>
        <v>0</v>
      </c>
      <c r="U35">
        <f t="shared" si="16"/>
        <v>2.1049599999999997</v>
      </c>
      <c r="V35">
        <f t="shared" si="17"/>
        <v>0</v>
      </c>
      <c r="W35">
        <f t="shared" si="18"/>
        <v>0</v>
      </c>
      <c r="X35">
        <f t="shared" si="19"/>
        <v>449.05</v>
      </c>
      <c r="Y35">
        <f t="shared" si="20"/>
        <v>332.41</v>
      </c>
      <c r="AA35">
        <v>45926640</v>
      </c>
      <c r="AB35">
        <f t="shared" si="21"/>
        <v>276.532</v>
      </c>
      <c r="AC35">
        <f t="shared" si="22"/>
        <v>80.4</v>
      </c>
      <c r="AD35">
        <f>ROUND(((((ET35*1.25))-((EU35*1.25)))+AE35),6)</f>
        <v>28.8875</v>
      </c>
      <c r="AE35">
        <f>ROUND(((EU35*1.25)),6)</f>
        <v>0</v>
      </c>
      <c r="AF35">
        <f>ROUND(((EV35*1.15)),6)</f>
        <v>167.2445</v>
      </c>
      <c r="AG35">
        <f t="shared" si="23"/>
        <v>0</v>
      </c>
      <c r="AH35">
        <f>((EW35*1.15))</f>
        <v>19.136</v>
      </c>
      <c r="AI35">
        <f>((EX35*1.25))</f>
        <v>0</v>
      </c>
      <c r="AJ35">
        <f t="shared" si="24"/>
        <v>0</v>
      </c>
      <c r="AK35">
        <v>248.94</v>
      </c>
      <c r="AL35">
        <v>80.4</v>
      </c>
      <c r="AM35">
        <v>23.11</v>
      </c>
      <c r="AN35">
        <v>0</v>
      </c>
      <c r="AO35">
        <v>145.43</v>
      </c>
      <c r="AP35">
        <v>0</v>
      </c>
      <c r="AQ35">
        <v>16.64</v>
      </c>
      <c r="AR35">
        <v>0</v>
      </c>
      <c r="AS35">
        <v>0</v>
      </c>
      <c r="AT35">
        <v>77</v>
      </c>
      <c r="AU35">
        <v>57</v>
      </c>
      <c r="AV35">
        <v>1</v>
      </c>
      <c r="AW35">
        <v>1</v>
      </c>
      <c r="AZ35">
        <v>1</v>
      </c>
      <c r="BA35">
        <v>31.7</v>
      </c>
      <c r="BB35">
        <v>4.14</v>
      </c>
      <c r="BC35">
        <v>1.75</v>
      </c>
      <c r="BH35">
        <v>0</v>
      </c>
      <c r="BI35">
        <v>1</v>
      </c>
      <c r="BJ35" t="s">
        <v>81</v>
      </c>
      <c r="BM35">
        <v>11001</v>
      </c>
      <c r="BN35">
        <v>0</v>
      </c>
      <c r="BO35" t="s">
        <v>78</v>
      </c>
      <c r="BP35">
        <v>1</v>
      </c>
      <c r="BQ35">
        <v>2</v>
      </c>
      <c r="BR35">
        <v>0</v>
      </c>
      <c r="BS35">
        <v>31.7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123</v>
      </c>
      <c r="CA35">
        <v>75</v>
      </c>
      <c r="CF35">
        <v>0</v>
      </c>
      <c r="CG35">
        <v>0</v>
      </c>
      <c r="CM35">
        <v>0</v>
      </c>
      <c r="CN35" t="s">
        <v>711</v>
      </c>
      <c r="CO35">
        <v>0</v>
      </c>
      <c r="CP35">
        <f t="shared" si="25"/>
        <v>611.8199999999999</v>
      </c>
      <c r="CQ35">
        <f t="shared" si="26"/>
        <v>140.70000000000002</v>
      </c>
      <c r="CR35">
        <f t="shared" si="27"/>
        <v>119.59424999999999</v>
      </c>
      <c r="CS35">
        <f t="shared" si="28"/>
        <v>0</v>
      </c>
      <c r="CT35">
        <f t="shared" si="29"/>
        <v>5301.65065</v>
      </c>
      <c r="CU35">
        <f t="shared" si="30"/>
        <v>0</v>
      </c>
      <c r="CV35">
        <f t="shared" si="31"/>
        <v>19.136</v>
      </c>
      <c r="CW35">
        <f t="shared" si="32"/>
        <v>0</v>
      </c>
      <c r="CX35">
        <f t="shared" si="33"/>
        <v>0</v>
      </c>
      <c r="CY35">
        <f t="shared" si="34"/>
        <v>449.0485999999999</v>
      </c>
      <c r="CZ35">
        <f t="shared" si="35"/>
        <v>332.41259999999994</v>
      </c>
      <c r="DE35" t="s">
        <v>19</v>
      </c>
      <c r="DF35" t="s">
        <v>19</v>
      </c>
      <c r="DG35" t="s">
        <v>20</v>
      </c>
      <c r="DI35" t="s">
        <v>20</v>
      </c>
      <c r="DJ35" t="s">
        <v>19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80</v>
      </c>
      <c r="DW35" t="s">
        <v>80</v>
      </c>
      <c r="DX35">
        <v>1</v>
      </c>
      <c r="EE35">
        <v>41567135</v>
      </c>
      <c r="EF35">
        <v>2</v>
      </c>
      <c r="EG35" t="s">
        <v>21</v>
      </c>
      <c r="EH35">
        <v>0</v>
      </c>
      <c r="EJ35">
        <v>1</v>
      </c>
      <c r="EK35">
        <v>11001</v>
      </c>
      <c r="EL35" t="s">
        <v>70</v>
      </c>
      <c r="EM35" t="s">
        <v>71</v>
      </c>
      <c r="EO35" t="s">
        <v>24</v>
      </c>
      <c r="EQ35">
        <v>0</v>
      </c>
      <c r="ER35">
        <v>248.94</v>
      </c>
      <c r="ES35">
        <v>80.4</v>
      </c>
      <c r="ET35">
        <v>23.11</v>
      </c>
      <c r="EU35">
        <v>0</v>
      </c>
      <c r="EV35">
        <v>145.43</v>
      </c>
      <c r="EW35">
        <v>16.64</v>
      </c>
      <c r="EX35">
        <v>0</v>
      </c>
      <c r="EY35">
        <v>0</v>
      </c>
      <c r="FQ35">
        <v>0</v>
      </c>
      <c r="FR35">
        <f t="shared" si="36"/>
        <v>0</v>
      </c>
      <c r="FS35">
        <v>0</v>
      </c>
      <c r="FT35" t="s">
        <v>25</v>
      </c>
      <c r="FU35" t="s">
        <v>26</v>
      </c>
      <c r="FX35">
        <v>77.49</v>
      </c>
      <c r="FY35">
        <v>57.375</v>
      </c>
      <c r="GD35">
        <v>0</v>
      </c>
      <c r="GF35">
        <v>1313871077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37"/>
        <v>0</v>
      </c>
      <c r="GM35">
        <f t="shared" si="38"/>
        <v>1393.2800000000002</v>
      </c>
      <c r="GN35">
        <f t="shared" si="39"/>
        <v>1393.28</v>
      </c>
      <c r="GO35">
        <f t="shared" si="40"/>
        <v>0</v>
      </c>
      <c r="GP35">
        <f t="shared" si="41"/>
        <v>0</v>
      </c>
      <c r="GT35">
        <v>0</v>
      </c>
      <c r="GU35">
        <v>1</v>
      </c>
      <c r="GV35">
        <v>0</v>
      </c>
      <c r="GW35">
        <v>0</v>
      </c>
      <c r="GX35">
        <f t="shared" si="42"/>
        <v>0</v>
      </c>
    </row>
    <row r="36" spans="1:206" ht="12.75">
      <c r="A36">
        <v>18</v>
      </c>
      <c r="B36">
        <v>1</v>
      </c>
      <c r="C36">
        <v>75</v>
      </c>
      <c r="E36" t="s">
        <v>82</v>
      </c>
      <c r="F36" t="s">
        <v>83</v>
      </c>
      <c r="G36" t="s">
        <v>84</v>
      </c>
      <c r="H36" t="s">
        <v>85</v>
      </c>
      <c r="I36">
        <f>I35*J36</f>
        <v>11.55</v>
      </c>
      <c r="J36">
        <v>105</v>
      </c>
      <c r="O36">
        <f t="shared" si="10"/>
        <v>643.37</v>
      </c>
      <c r="P36">
        <f t="shared" si="11"/>
        <v>643.37</v>
      </c>
      <c r="Q36">
        <f t="shared" si="12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>
        <f t="shared" si="16"/>
        <v>0</v>
      </c>
      <c r="V36">
        <f t="shared" si="17"/>
        <v>0</v>
      </c>
      <c r="W36">
        <f t="shared" si="18"/>
        <v>0.12</v>
      </c>
      <c r="X36">
        <f t="shared" si="19"/>
        <v>0</v>
      </c>
      <c r="Y36">
        <f t="shared" si="20"/>
        <v>0</v>
      </c>
      <c r="AA36">
        <v>45926640</v>
      </c>
      <c r="AB36">
        <f t="shared" si="21"/>
        <v>52.55</v>
      </c>
      <c r="AC36">
        <f t="shared" si="22"/>
        <v>52.55</v>
      </c>
      <c r="AD36">
        <f>ROUND((((ET36)-(EU36))+AE36),6)</f>
        <v>0</v>
      </c>
      <c r="AE36">
        <f>ROUND((EU36),6)</f>
        <v>0</v>
      </c>
      <c r="AF36">
        <f>ROUND((EV36),6)</f>
        <v>0</v>
      </c>
      <c r="AG36">
        <f t="shared" si="23"/>
        <v>0</v>
      </c>
      <c r="AH36">
        <f>(EW36)</f>
        <v>0</v>
      </c>
      <c r="AI36">
        <f>(EX36)</f>
        <v>0</v>
      </c>
      <c r="AJ36">
        <f t="shared" si="24"/>
        <v>0.01</v>
      </c>
      <c r="AK36">
        <v>52.55</v>
      </c>
      <c r="AL36">
        <v>52.55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0.01</v>
      </c>
      <c r="AT36">
        <v>77</v>
      </c>
      <c r="AU36">
        <v>57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1.06</v>
      </c>
      <c r="BH36">
        <v>3</v>
      </c>
      <c r="BI36">
        <v>1</v>
      </c>
      <c r="BJ36" t="s">
        <v>86</v>
      </c>
      <c r="BM36">
        <v>11001</v>
      </c>
      <c r="BN36">
        <v>0</v>
      </c>
      <c r="BO36" t="s">
        <v>83</v>
      </c>
      <c r="BP36">
        <v>1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123</v>
      </c>
      <c r="CA36">
        <v>75</v>
      </c>
      <c r="CF36">
        <v>0</v>
      </c>
      <c r="CG36">
        <v>0</v>
      </c>
      <c r="CM36">
        <v>0</v>
      </c>
      <c r="CO36">
        <v>0</v>
      </c>
      <c r="CP36">
        <f t="shared" si="25"/>
        <v>643.37</v>
      </c>
      <c r="CQ36">
        <f t="shared" si="26"/>
        <v>55.703</v>
      </c>
      <c r="CR36">
        <f t="shared" si="27"/>
        <v>0</v>
      </c>
      <c r="CS36">
        <f t="shared" si="28"/>
        <v>0</v>
      </c>
      <c r="CT36">
        <f t="shared" si="29"/>
        <v>0</v>
      </c>
      <c r="CU36">
        <f t="shared" si="30"/>
        <v>0</v>
      </c>
      <c r="CV36">
        <f t="shared" si="31"/>
        <v>0</v>
      </c>
      <c r="CW36">
        <f t="shared" si="32"/>
        <v>0</v>
      </c>
      <c r="CX36">
        <f t="shared" si="33"/>
        <v>0.01</v>
      </c>
      <c r="CY36">
        <f t="shared" si="34"/>
        <v>0</v>
      </c>
      <c r="CZ36">
        <f t="shared" si="35"/>
        <v>0</v>
      </c>
      <c r="DN36">
        <v>0</v>
      </c>
      <c r="DO36">
        <v>0</v>
      </c>
      <c r="DP36">
        <v>1</v>
      </c>
      <c r="DQ36">
        <v>1</v>
      </c>
      <c r="DU36">
        <v>1003</v>
      </c>
      <c r="DV36" t="s">
        <v>85</v>
      </c>
      <c r="DW36" t="s">
        <v>85</v>
      </c>
      <c r="DX36">
        <v>1</v>
      </c>
      <c r="EE36">
        <v>41567135</v>
      </c>
      <c r="EF36">
        <v>2</v>
      </c>
      <c r="EG36" t="s">
        <v>21</v>
      </c>
      <c r="EH36">
        <v>0</v>
      </c>
      <c r="EJ36">
        <v>1</v>
      </c>
      <c r="EK36">
        <v>11001</v>
      </c>
      <c r="EL36" t="s">
        <v>70</v>
      </c>
      <c r="EM36" t="s">
        <v>71</v>
      </c>
      <c r="EQ36">
        <v>0</v>
      </c>
      <c r="ER36">
        <v>52.55</v>
      </c>
      <c r="ES36">
        <v>52.55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36"/>
        <v>0</v>
      </c>
      <c r="FS36">
        <v>0</v>
      </c>
      <c r="FT36" t="s">
        <v>25</v>
      </c>
      <c r="FU36" t="s">
        <v>26</v>
      </c>
      <c r="FX36">
        <v>77.49</v>
      </c>
      <c r="FY36">
        <v>57.375</v>
      </c>
      <c r="GD36">
        <v>0</v>
      </c>
      <c r="GF36">
        <v>1000868929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37"/>
        <v>0</v>
      </c>
      <c r="GM36">
        <f t="shared" si="38"/>
        <v>643.37</v>
      </c>
      <c r="GN36">
        <f t="shared" si="39"/>
        <v>643.37</v>
      </c>
      <c r="GO36">
        <f t="shared" si="40"/>
        <v>0</v>
      </c>
      <c r="GP36">
        <f t="shared" si="41"/>
        <v>0</v>
      </c>
      <c r="GT36">
        <v>0</v>
      </c>
      <c r="GU36">
        <v>1</v>
      </c>
      <c r="GV36">
        <v>0</v>
      </c>
      <c r="GW36">
        <v>0</v>
      </c>
      <c r="GX36">
        <f t="shared" si="42"/>
        <v>0</v>
      </c>
    </row>
    <row r="37" spans="1:206" ht="12.75">
      <c r="A37">
        <v>17</v>
      </c>
      <c r="B37">
        <v>1</v>
      </c>
      <c r="C37">
        <f>ROW(SmtRes!A85)</f>
        <v>85</v>
      </c>
      <c r="D37">
        <f>ROW(EtalonRes!A84)</f>
        <v>84</v>
      </c>
      <c r="E37" t="s">
        <v>87</v>
      </c>
      <c r="F37" t="s">
        <v>88</v>
      </c>
      <c r="G37" t="s">
        <v>89</v>
      </c>
      <c r="H37" t="s">
        <v>54</v>
      </c>
      <c r="I37">
        <f>ROUND(4.1/100,9)</f>
        <v>0.041</v>
      </c>
      <c r="J37">
        <v>0</v>
      </c>
      <c r="O37">
        <f t="shared" si="10"/>
        <v>4215.97</v>
      </c>
      <c r="P37">
        <f t="shared" si="11"/>
        <v>2611.7</v>
      </c>
      <c r="Q37">
        <f t="shared" si="12"/>
        <v>81.84</v>
      </c>
      <c r="R37">
        <f t="shared" si="13"/>
        <v>5.49</v>
      </c>
      <c r="S37">
        <f t="shared" si="14"/>
        <v>1522.43</v>
      </c>
      <c r="T37">
        <f t="shared" si="15"/>
        <v>0</v>
      </c>
      <c r="U37">
        <f t="shared" si="16"/>
        <v>5.109173999999999</v>
      </c>
      <c r="V37">
        <f t="shared" si="17"/>
        <v>0.012812500000000001</v>
      </c>
      <c r="W37">
        <f t="shared" si="18"/>
        <v>0</v>
      </c>
      <c r="X37">
        <f t="shared" si="19"/>
        <v>1008.43</v>
      </c>
      <c r="Y37">
        <f t="shared" si="20"/>
        <v>641.73</v>
      </c>
      <c r="AA37">
        <v>45926640</v>
      </c>
      <c r="AB37">
        <f t="shared" si="21"/>
        <v>30063.6795</v>
      </c>
      <c r="AC37">
        <f t="shared" si="22"/>
        <v>28693.7</v>
      </c>
      <c r="AD37">
        <f>ROUND(((((ET37*1.25))-((EU37*1.25)))+AE37),6)</f>
        <v>198.6125</v>
      </c>
      <c r="AE37">
        <f>ROUND(((EU37*1.25)),6)</f>
        <v>4.225</v>
      </c>
      <c r="AF37">
        <f>ROUND(((EV37*1.15)),6)</f>
        <v>1171.367</v>
      </c>
      <c r="AG37">
        <f t="shared" si="23"/>
        <v>0</v>
      </c>
      <c r="AH37">
        <f>((EW37*1.15))</f>
        <v>124.61399999999999</v>
      </c>
      <c r="AI37">
        <f>((EX37*1.25))</f>
        <v>0.3125</v>
      </c>
      <c r="AJ37">
        <f t="shared" si="24"/>
        <v>0</v>
      </c>
      <c r="AK37">
        <v>29871.17</v>
      </c>
      <c r="AL37">
        <v>28693.7</v>
      </c>
      <c r="AM37">
        <v>158.89</v>
      </c>
      <c r="AN37">
        <v>3.38</v>
      </c>
      <c r="AO37">
        <v>1018.58</v>
      </c>
      <c r="AP37">
        <v>0</v>
      </c>
      <c r="AQ37">
        <v>108.36</v>
      </c>
      <c r="AR37">
        <v>0.25</v>
      </c>
      <c r="AS37">
        <v>0</v>
      </c>
      <c r="AT37">
        <v>66</v>
      </c>
      <c r="AU37">
        <v>42</v>
      </c>
      <c r="AV37">
        <v>1</v>
      </c>
      <c r="AW37">
        <v>1</v>
      </c>
      <c r="AZ37">
        <v>1</v>
      </c>
      <c r="BA37">
        <v>31.7</v>
      </c>
      <c r="BB37">
        <v>10.05</v>
      </c>
      <c r="BC37">
        <v>2.22</v>
      </c>
      <c r="BH37">
        <v>0</v>
      </c>
      <c r="BI37">
        <v>1</v>
      </c>
      <c r="BJ37" t="s">
        <v>90</v>
      </c>
      <c r="BM37">
        <v>15001</v>
      </c>
      <c r="BN37">
        <v>0</v>
      </c>
      <c r="BO37" t="s">
        <v>88</v>
      </c>
      <c r="BP37">
        <v>1</v>
      </c>
      <c r="BQ37">
        <v>2</v>
      </c>
      <c r="BR37">
        <v>0</v>
      </c>
      <c r="BS37">
        <v>31.7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105</v>
      </c>
      <c r="CA37">
        <v>55</v>
      </c>
      <c r="CF37">
        <v>0</v>
      </c>
      <c r="CG37">
        <v>0</v>
      </c>
      <c r="CM37">
        <v>0</v>
      </c>
      <c r="CN37" t="s">
        <v>711</v>
      </c>
      <c r="CO37">
        <v>0</v>
      </c>
      <c r="CP37">
        <f t="shared" si="25"/>
        <v>4215.97</v>
      </c>
      <c r="CQ37">
        <f t="shared" si="26"/>
        <v>63700.01400000001</v>
      </c>
      <c r="CR37">
        <f t="shared" si="27"/>
        <v>1996.0556250000002</v>
      </c>
      <c r="CS37">
        <f t="shared" si="28"/>
        <v>133.93249999999998</v>
      </c>
      <c r="CT37">
        <f t="shared" si="29"/>
        <v>37132.3339</v>
      </c>
      <c r="CU37">
        <f t="shared" si="30"/>
        <v>0</v>
      </c>
      <c r="CV37">
        <f t="shared" si="31"/>
        <v>124.61399999999999</v>
      </c>
      <c r="CW37">
        <f t="shared" si="32"/>
        <v>0.3125</v>
      </c>
      <c r="CX37">
        <f t="shared" si="33"/>
        <v>0</v>
      </c>
      <c r="CY37">
        <f t="shared" si="34"/>
        <v>1008.4272</v>
      </c>
      <c r="CZ37">
        <f t="shared" si="35"/>
        <v>641.7264</v>
      </c>
      <c r="DE37" t="s">
        <v>19</v>
      </c>
      <c r="DF37" t="s">
        <v>19</v>
      </c>
      <c r="DG37" t="s">
        <v>20</v>
      </c>
      <c r="DI37" t="s">
        <v>20</v>
      </c>
      <c r="DJ37" t="s">
        <v>19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">
        <v>54</v>
      </c>
      <c r="DX37">
        <v>1</v>
      </c>
      <c r="EE37">
        <v>41567160</v>
      </c>
      <c r="EF37">
        <v>2</v>
      </c>
      <c r="EG37" t="s">
        <v>21</v>
      </c>
      <c r="EH37">
        <v>0</v>
      </c>
      <c r="EJ37">
        <v>1</v>
      </c>
      <c r="EK37">
        <v>15001</v>
      </c>
      <c r="EL37" t="s">
        <v>56</v>
      </c>
      <c r="EM37" t="s">
        <v>57</v>
      </c>
      <c r="EO37" t="s">
        <v>24</v>
      </c>
      <c r="EQ37">
        <v>0</v>
      </c>
      <c r="ER37">
        <v>29871.17</v>
      </c>
      <c r="ES37">
        <v>28693.7</v>
      </c>
      <c r="ET37">
        <v>158.89</v>
      </c>
      <c r="EU37">
        <v>3.38</v>
      </c>
      <c r="EV37">
        <v>1018.58</v>
      </c>
      <c r="EW37">
        <v>108.36</v>
      </c>
      <c r="EX37">
        <v>0.25</v>
      </c>
      <c r="EY37">
        <v>0</v>
      </c>
      <c r="FQ37">
        <v>0</v>
      </c>
      <c r="FR37">
        <f t="shared" si="36"/>
        <v>0</v>
      </c>
      <c r="FS37">
        <v>0</v>
      </c>
      <c r="FT37" t="s">
        <v>25</v>
      </c>
      <c r="FU37" t="s">
        <v>26</v>
      </c>
      <c r="FX37">
        <v>66.15</v>
      </c>
      <c r="FY37">
        <v>42.075</v>
      </c>
      <c r="GD37">
        <v>0</v>
      </c>
      <c r="GF37">
        <v>1482276565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37"/>
        <v>0</v>
      </c>
      <c r="GM37">
        <f t="shared" si="38"/>
        <v>5866.130000000001</v>
      </c>
      <c r="GN37">
        <f t="shared" si="39"/>
        <v>5866.13</v>
      </c>
      <c r="GO37">
        <f t="shared" si="40"/>
        <v>0</v>
      </c>
      <c r="GP37">
        <f t="shared" si="41"/>
        <v>0</v>
      </c>
      <c r="GT37">
        <v>0</v>
      </c>
      <c r="GU37">
        <v>1</v>
      </c>
      <c r="GV37">
        <v>0</v>
      </c>
      <c r="GW37">
        <v>0</v>
      </c>
      <c r="GX37">
        <f t="shared" si="42"/>
        <v>0</v>
      </c>
    </row>
    <row r="38" spans="1:206" ht="12.75">
      <c r="A38">
        <v>18</v>
      </c>
      <c r="B38">
        <v>1</v>
      </c>
      <c r="C38">
        <v>84</v>
      </c>
      <c r="E38" t="s">
        <v>91</v>
      </c>
      <c r="F38" t="s">
        <v>92</v>
      </c>
      <c r="G38" t="s">
        <v>93</v>
      </c>
      <c r="H38" t="s">
        <v>85</v>
      </c>
      <c r="I38">
        <f>I37*J38</f>
        <v>8.2</v>
      </c>
      <c r="J38">
        <v>199.99999999999997</v>
      </c>
      <c r="O38">
        <f t="shared" si="10"/>
        <v>258.67</v>
      </c>
      <c r="P38">
        <f t="shared" si="11"/>
        <v>258.67</v>
      </c>
      <c r="Q38">
        <f t="shared" si="12"/>
        <v>0</v>
      </c>
      <c r="R38">
        <f t="shared" si="13"/>
        <v>0</v>
      </c>
      <c r="S38">
        <f t="shared" si="14"/>
        <v>0</v>
      </c>
      <c r="T38">
        <f t="shared" si="15"/>
        <v>0</v>
      </c>
      <c r="U38">
        <f t="shared" si="16"/>
        <v>0</v>
      </c>
      <c r="V38">
        <f t="shared" si="17"/>
        <v>0</v>
      </c>
      <c r="W38">
        <f t="shared" si="18"/>
        <v>0</v>
      </c>
      <c r="X38">
        <f t="shared" si="19"/>
        <v>0</v>
      </c>
      <c r="Y38">
        <f t="shared" si="20"/>
        <v>0</v>
      </c>
      <c r="AA38">
        <v>45926640</v>
      </c>
      <c r="AB38">
        <f t="shared" si="21"/>
        <v>6.36</v>
      </c>
      <c r="AC38">
        <f t="shared" si="22"/>
        <v>6.36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23"/>
        <v>0</v>
      </c>
      <c r="AH38">
        <f>(EW38)</f>
        <v>0</v>
      </c>
      <c r="AI38">
        <f>(EX38)</f>
        <v>0</v>
      </c>
      <c r="AJ38">
        <f t="shared" si="24"/>
        <v>0</v>
      </c>
      <c r="AK38">
        <v>6.36</v>
      </c>
      <c r="AL38">
        <v>6.36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66</v>
      </c>
      <c r="AU38">
        <v>42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4.96</v>
      </c>
      <c r="BH38">
        <v>3</v>
      </c>
      <c r="BI38">
        <v>1</v>
      </c>
      <c r="BJ38" t="s">
        <v>94</v>
      </c>
      <c r="BM38">
        <v>15001</v>
      </c>
      <c r="BN38">
        <v>0</v>
      </c>
      <c r="BO38" t="s">
        <v>92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105</v>
      </c>
      <c r="CA38">
        <v>55</v>
      </c>
      <c r="CF38">
        <v>0</v>
      </c>
      <c r="CG38">
        <v>0</v>
      </c>
      <c r="CM38">
        <v>0</v>
      </c>
      <c r="CO38">
        <v>0</v>
      </c>
      <c r="CP38">
        <f t="shared" si="25"/>
        <v>258.67</v>
      </c>
      <c r="CQ38">
        <f t="shared" si="26"/>
        <v>31.5456</v>
      </c>
      <c r="CR38">
        <f t="shared" si="27"/>
        <v>0</v>
      </c>
      <c r="CS38">
        <f t="shared" si="28"/>
        <v>0</v>
      </c>
      <c r="CT38">
        <f t="shared" si="29"/>
        <v>0</v>
      </c>
      <c r="CU38">
        <f t="shared" si="30"/>
        <v>0</v>
      </c>
      <c r="CV38">
        <f t="shared" si="31"/>
        <v>0</v>
      </c>
      <c r="CW38">
        <f t="shared" si="32"/>
        <v>0</v>
      </c>
      <c r="CX38">
        <f t="shared" si="33"/>
        <v>0</v>
      </c>
      <c r="CY38">
        <f t="shared" si="34"/>
        <v>0</v>
      </c>
      <c r="CZ38">
        <f t="shared" si="35"/>
        <v>0</v>
      </c>
      <c r="DN38">
        <v>0</v>
      </c>
      <c r="DO38">
        <v>0</v>
      </c>
      <c r="DP38">
        <v>1</v>
      </c>
      <c r="DQ38">
        <v>1</v>
      </c>
      <c r="DU38">
        <v>1003</v>
      </c>
      <c r="DV38" t="s">
        <v>85</v>
      </c>
      <c r="DW38" t="s">
        <v>85</v>
      </c>
      <c r="DX38">
        <v>1</v>
      </c>
      <c r="EE38">
        <v>41567160</v>
      </c>
      <c r="EF38">
        <v>2</v>
      </c>
      <c r="EG38" t="s">
        <v>21</v>
      </c>
      <c r="EH38">
        <v>0</v>
      </c>
      <c r="EJ38">
        <v>1</v>
      </c>
      <c r="EK38">
        <v>15001</v>
      </c>
      <c r="EL38" t="s">
        <v>56</v>
      </c>
      <c r="EM38" t="s">
        <v>57</v>
      </c>
      <c r="EQ38">
        <v>0</v>
      </c>
      <c r="ER38">
        <v>6.36</v>
      </c>
      <c r="ES38">
        <v>6.36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36"/>
        <v>0</v>
      </c>
      <c r="FS38">
        <v>0</v>
      </c>
      <c r="FT38" t="s">
        <v>25</v>
      </c>
      <c r="FU38" t="s">
        <v>26</v>
      </c>
      <c r="FX38">
        <v>66.15</v>
      </c>
      <c r="FY38">
        <v>42.075</v>
      </c>
      <c r="GA38" t="s">
        <v>95</v>
      </c>
      <c r="GD38">
        <v>0</v>
      </c>
      <c r="GF38">
        <v>-877513643</v>
      </c>
      <c r="GG38">
        <v>2</v>
      </c>
      <c r="GH38">
        <v>0</v>
      </c>
      <c r="GI38">
        <v>2</v>
      </c>
      <c r="GJ38">
        <v>0</v>
      </c>
      <c r="GK38">
        <f>ROUND(R38*(R12)/100,2)</f>
        <v>0</v>
      </c>
      <c r="GL38">
        <f t="shared" si="37"/>
        <v>0</v>
      </c>
      <c r="GM38">
        <f t="shared" si="38"/>
        <v>258.67</v>
      </c>
      <c r="GN38">
        <f t="shared" si="39"/>
        <v>258.67</v>
      </c>
      <c r="GO38">
        <f t="shared" si="40"/>
        <v>0</v>
      </c>
      <c r="GP38">
        <f t="shared" si="41"/>
        <v>0</v>
      </c>
      <c r="GT38">
        <v>0</v>
      </c>
      <c r="GU38">
        <v>1</v>
      </c>
      <c r="GV38">
        <v>0</v>
      </c>
      <c r="GW38">
        <v>0</v>
      </c>
      <c r="GX38">
        <f t="shared" si="42"/>
        <v>0</v>
      </c>
    </row>
    <row r="39" spans="1:206" ht="12.75">
      <c r="A39">
        <v>17</v>
      </c>
      <c r="B39">
        <v>1</v>
      </c>
      <c r="C39">
        <f>ROW(SmtRes!A93)</f>
        <v>93</v>
      </c>
      <c r="D39">
        <f>ROW(EtalonRes!A92)</f>
        <v>92</v>
      </c>
      <c r="E39" t="s">
        <v>96</v>
      </c>
      <c r="F39" t="s">
        <v>97</v>
      </c>
      <c r="G39" t="s">
        <v>98</v>
      </c>
      <c r="H39" t="s">
        <v>99</v>
      </c>
      <c r="I39">
        <v>2</v>
      </c>
      <c r="J39">
        <v>0</v>
      </c>
      <c r="O39">
        <f t="shared" si="10"/>
        <v>1094.92</v>
      </c>
      <c r="P39">
        <f t="shared" si="11"/>
        <v>284.35</v>
      </c>
      <c r="Q39">
        <f t="shared" si="12"/>
        <v>45.74</v>
      </c>
      <c r="R39">
        <f t="shared" si="13"/>
        <v>0</v>
      </c>
      <c r="S39">
        <f t="shared" si="14"/>
        <v>764.83</v>
      </c>
      <c r="T39">
        <f t="shared" si="15"/>
        <v>0</v>
      </c>
      <c r="U39">
        <f t="shared" si="16"/>
        <v>2.691</v>
      </c>
      <c r="V39">
        <f t="shared" si="17"/>
        <v>0</v>
      </c>
      <c r="W39">
        <f t="shared" si="18"/>
        <v>0</v>
      </c>
      <c r="X39">
        <f t="shared" si="19"/>
        <v>619.51</v>
      </c>
      <c r="Y39">
        <f t="shared" si="20"/>
        <v>481.84</v>
      </c>
      <c r="AA39">
        <v>45926640</v>
      </c>
      <c r="AB39">
        <f t="shared" si="21"/>
        <v>24.076</v>
      </c>
      <c r="AC39">
        <f t="shared" si="22"/>
        <v>9.05</v>
      </c>
      <c r="AD39">
        <f>ROUND(((((ET39*1.25))-((EU39*1.25)))+AE39),6)</f>
        <v>2.9625</v>
      </c>
      <c r="AE39">
        <f>ROUND(((EU39*1.25)),6)</f>
        <v>0</v>
      </c>
      <c r="AF39">
        <f>ROUND(((EV39*1.15)),6)</f>
        <v>12.0635</v>
      </c>
      <c r="AG39">
        <f t="shared" si="23"/>
        <v>0</v>
      </c>
      <c r="AH39">
        <f>((EW39*1.15))</f>
        <v>1.3455</v>
      </c>
      <c r="AI39">
        <f>((EX39*1.25))</f>
        <v>0</v>
      </c>
      <c r="AJ39">
        <f t="shared" si="24"/>
        <v>0</v>
      </c>
      <c r="AK39">
        <v>21.91</v>
      </c>
      <c r="AL39">
        <v>9.05</v>
      </c>
      <c r="AM39">
        <v>2.37</v>
      </c>
      <c r="AN39">
        <v>0</v>
      </c>
      <c r="AO39">
        <v>10.49</v>
      </c>
      <c r="AP39">
        <v>0</v>
      </c>
      <c r="AQ39">
        <v>1.17</v>
      </c>
      <c r="AR39">
        <v>0</v>
      </c>
      <c r="AS39">
        <v>0</v>
      </c>
      <c r="AT39">
        <v>81</v>
      </c>
      <c r="AU39">
        <v>63</v>
      </c>
      <c r="AV39">
        <v>1</v>
      </c>
      <c r="AW39">
        <v>1</v>
      </c>
      <c r="AZ39">
        <v>1</v>
      </c>
      <c r="BA39">
        <v>31.7</v>
      </c>
      <c r="BB39">
        <v>7.72</v>
      </c>
      <c r="BC39">
        <v>15.71</v>
      </c>
      <c r="BH39">
        <v>0</v>
      </c>
      <c r="BI39">
        <v>1</v>
      </c>
      <c r="BJ39" t="s">
        <v>100</v>
      </c>
      <c r="BM39">
        <v>20001</v>
      </c>
      <c r="BN39">
        <v>0</v>
      </c>
      <c r="BO39" t="s">
        <v>97</v>
      </c>
      <c r="BP39">
        <v>1</v>
      </c>
      <c r="BQ39">
        <v>2</v>
      </c>
      <c r="BR39">
        <v>0</v>
      </c>
      <c r="BS39">
        <v>31.7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128</v>
      </c>
      <c r="CA39">
        <v>83</v>
      </c>
      <c r="CF39">
        <v>0</v>
      </c>
      <c r="CG39">
        <v>0</v>
      </c>
      <c r="CM39">
        <v>0</v>
      </c>
      <c r="CN39" t="s">
        <v>711</v>
      </c>
      <c r="CO39">
        <v>0</v>
      </c>
      <c r="CP39">
        <f t="shared" si="25"/>
        <v>1094.92</v>
      </c>
      <c r="CQ39">
        <f t="shared" si="26"/>
        <v>142.17550000000003</v>
      </c>
      <c r="CR39">
        <f t="shared" si="27"/>
        <v>22.8705</v>
      </c>
      <c r="CS39">
        <f t="shared" si="28"/>
        <v>0</v>
      </c>
      <c r="CT39">
        <f t="shared" si="29"/>
        <v>382.41294999999997</v>
      </c>
      <c r="CU39">
        <f t="shared" si="30"/>
        <v>0</v>
      </c>
      <c r="CV39">
        <f t="shared" si="31"/>
        <v>1.3455</v>
      </c>
      <c r="CW39">
        <f t="shared" si="32"/>
        <v>0</v>
      </c>
      <c r="CX39">
        <f t="shared" si="33"/>
        <v>0</v>
      </c>
      <c r="CY39">
        <f t="shared" si="34"/>
        <v>619.5123</v>
      </c>
      <c r="CZ39">
        <f t="shared" si="35"/>
        <v>481.8429</v>
      </c>
      <c r="DE39" t="s">
        <v>19</v>
      </c>
      <c r="DF39" t="s">
        <v>19</v>
      </c>
      <c r="DG39" t="s">
        <v>20</v>
      </c>
      <c r="DI39" t="s">
        <v>20</v>
      </c>
      <c r="DJ39" t="s">
        <v>19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99</v>
      </c>
      <c r="DW39" t="s">
        <v>99</v>
      </c>
      <c r="DX39">
        <v>1</v>
      </c>
      <c r="EE39">
        <v>41567165</v>
      </c>
      <c r="EF39">
        <v>2</v>
      </c>
      <c r="EG39" t="s">
        <v>21</v>
      </c>
      <c r="EH39">
        <v>0</v>
      </c>
      <c r="EJ39">
        <v>1</v>
      </c>
      <c r="EK39">
        <v>20001</v>
      </c>
      <c r="EL39" t="s">
        <v>101</v>
      </c>
      <c r="EM39" t="s">
        <v>102</v>
      </c>
      <c r="EO39" t="s">
        <v>24</v>
      </c>
      <c r="EQ39">
        <v>0</v>
      </c>
      <c r="ER39">
        <v>21.91</v>
      </c>
      <c r="ES39">
        <v>9.05</v>
      </c>
      <c r="ET39">
        <v>2.37</v>
      </c>
      <c r="EU39">
        <v>0</v>
      </c>
      <c r="EV39">
        <v>10.49</v>
      </c>
      <c r="EW39">
        <v>1.17</v>
      </c>
      <c r="EX39">
        <v>0</v>
      </c>
      <c r="EY39">
        <v>0</v>
      </c>
      <c r="FQ39">
        <v>0</v>
      </c>
      <c r="FR39">
        <f t="shared" si="36"/>
        <v>0</v>
      </c>
      <c r="FS39">
        <v>0</v>
      </c>
      <c r="FT39" t="s">
        <v>25</v>
      </c>
      <c r="FU39" t="s">
        <v>26</v>
      </c>
      <c r="FX39">
        <v>80.64</v>
      </c>
      <c r="FY39">
        <v>63.495</v>
      </c>
      <c r="GD39">
        <v>0</v>
      </c>
      <c r="GF39">
        <v>743893718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37"/>
        <v>0</v>
      </c>
      <c r="GM39">
        <f t="shared" si="38"/>
        <v>2196.27</v>
      </c>
      <c r="GN39">
        <f t="shared" si="39"/>
        <v>2196.27</v>
      </c>
      <c r="GO39">
        <f t="shared" si="40"/>
        <v>0</v>
      </c>
      <c r="GP39">
        <f t="shared" si="41"/>
        <v>0</v>
      </c>
      <c r="GT39">
        <v>0</v>
      </c>
      <c r="GU39">
        <v>1</v>
      </c>
      <c r="GV39">
        <v>0</v>
      </c>
      <c r="GW39">
        <v>0</v>
      </c>
      <c r="GX39">
        <f t="shared" si="42"/>
        <v>0</v>
      </c>
    </row>
    <row r="40" spans="1:206" ht="12.75">
      <c r="A40">
        <v>17</v>
      </c>
      <c r="B40">
        <v>1</v>
      </c>
      <c r="C40">
        <f>ROW(SmtRes!A106)</f>
        <v>106</v>
      </c>
      <c r="D40">
        <f>ROW(EtalonRes!A104)</f>
        <v>104</v>
      </c>
      <c r="E40" t="s">
        <v>103</v>
      </c>
      <c r="F40" t="s">
        <v>104</v>
      </c>
      <c r="G40" t="s">
        <v>105</v>
      </c>
      <c r="H40" t="s">
        <v>106</v>
      </c>
      <c r="I40">
        <f>ROUND(1/10,9)</f>
        <v>0.1</v>
      </c>
      <c r="J40">
        <v>0</v>
      </c>
      <c r="O40">
        <f t="shared" si="10"/>
        <v>9441.49</v>
      </c>
      <c r="P40">
        <f t="shared" si="11"/>
        <v>7185.85</v>
      </c>
      <c r="Q40">
        <f t="shared" si="12"/>
        <v>110.77</v>
      </c>
      <c r="R40">
        <f t="shared" si="13"/>
        <v>32.65</v>
      </c>
      <c r="S40">
        <f t="shared" si="14"/>
        <v>2144.87</v>
      </c>
      <c r="T40">
        <f t="shared" si="15"/>
        <v>0</v>
      </c>
      <c r="U40">
        <f t="shared" si="16"/>
        <v>7.033399999999999</v>
      </c>
      <c r="V40">
        <f t="shared" si="17"/>
        <v>0.07625</v>
      </c>
      <c r="W40">
        <f t="shared" si="18"/>
        <v>0</v>
      </c>
      <c r="X40">
        <f t="shared" si="19"/>
        <v>1763.79</v>
      </c>
      <c r="Y40">
        <f t="shared" si="20"/>
        <v>1371.84</v>
      </c>
      <c r="AA40">
        <v>45926640</v>
      </c>
      <c r="AB40">
        <f t="shared" si="21"/>
        <v>57364.224</v>
      </c>
      <c r="AC40">
        <f t="shared" si="22"/>
        <v>56581.51</v>
      </c>
      <c r="AD40">
        <f>ROUND(((((ET40*1.25))-((EU40*1.25)))+AE40),6)</f>
        <v>106.1</v>
      </c>
      <c r="AE40">
        <f>ROUND(((EU40*1.25)),6)</f>
        <v>10.3</v>
      </c>
      <c r="AF40">
        <f>ROUND(((EV40*1.15)),6)</f>
        <v>676.614</v>
      </c>
      <c r="AG40">
        <f t="shared" si="23"/>
        <v>0</v>
      </c>
      <c r="AH40">
        <f>((EW40*1.15))</f>
        <v>70.33399999999999</v>
      </c>
      <c r="AI40">
        <f>((EX40*1.25))</f>
        <v>0.7625</v>
      </c>
      <c r="AJ40">
        <f t="shared" si="24"/>
        <v>0</v>
      </c>
      <c r="AK40">
        <v>57254.75</v>
      </c>
      <c r="AL40">
        <v>56581.51</v>
      </c>
      <c r="AM40">
        <v>84.88</v>
      </c>
      <c r="AN40">
        <v>8.24</v>
      </c>
      <c r="AO40">
        <v>588.36</v>
      </c>
      <c r="AP40">
        <v>0</v>
      </c>
      <c r="AQ40">
        <v>61.16</v>
      </c>
      <c r="AR40">
        <v>0.61</v>
      </c>
      <c r="AS40">
        <v>0</v>
      </c>
      <c r="AT40">
        <v>81</v>
      </c>
      <c r="AU40">
        <v>63</v>
      </c>
      <c r="AV40">
        <v>1</v>
      </c>
      <c r="AW40">
        <v>1</v>
      </c>
      <c r="AZ40">
        <v>1</v>
      </c>
      <c r="BA40">
        <v>31.7</v>
      </c>
      <c r="BB40">
        <v>10.44</v>
      </c>
      <c r="BC40">
        <v>1.27</v>
      </c>
      <c r="BH40">
        <v>0</v>
      </c>
      <c r="BI40">
        <v>1</v>
      </c>
      <c r="BJ40" t="s">
        <v>107</v>
      </c>
      <c r="BM40">
        <v>17001</v>
      </c>
      <c r="BN40">
        <v>0</v>
      </c>
      <c r="BO40" t="s">
        <v>104</v>
      </c>
      <c r="BP40">
        <v>1</v>
      </c>
      <c r="BQ40">
        <v>2</v>
      </c>
      <c r="BR40">
        <v>0</v>
      </c>
      <c r="BS40">
        <v>31.7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128</v>
      </c>
      <c r="CA40">
        <v>83</v>
      </c>
      <c r="CF40">
        <v>0</v>
      </c>
      <c r="CG40">
        <v>0</v>
      </c>
      <c r="CM40">
        <v>0</v>
      </c>
      <c r="CN40" t="s">
        <v>711</v>
      </c>
      <c r="CO40">
        <v>0</v>
      </c>
      <c r="CP40">
        <f t="shared" si="25"/>
        <v>9441.490000000002</v>
      </c>
      <c r="CQ40">
        <f t="shared" si="26"/>
        <v>71858.5177</v>
      </c>
      <c r="CR40">
        <f t="shared" si="27"/>
        <v>1107.684</v>
      </c>
      <c r="CS40">
        <f t="shared" si="28"/>
        <v>326.51</v>
      </c>
      <c r="CT40">
        <f t="shared" si="29"/>
        <v>21448.663800000002</v>
      </c>
      <c r="CU40">
        <f t="shared" si="30"/>
        <v>0</v>
      </c>
      <c r="CV40">
        <f t="shared" si="31"/>
        <v>70.33399999999999</v>
      </c>
      <c r="CW40">
        <f t="shared" si="32"/>
        <v>0.7625</v>
      </c>
      <c r="CX40">
        <f t="shared" si="33"/>
        <v>0</v>
      </c>
      <c r="CY40">
        <f t="shared" si="34"/>
        <v>1763.7912</v>
      </c>
      <c r="CZ40">
        <f t="shared" si="35"/>
        <v>1371.8376</v>
      </c>
      <c r="DE40" t="s">
        <v>19</v>
      </c>
      <c r="DF40" t="s">
        <v>19</v>
      </c>
      <c r="DG40" t="s">
        <v>20</v>
      </c>
      <c r="DI40" t="s">
        <v>20</v>
      </c>
      <c r="DJ40" t="s">
        <v>19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106</v>
      </c>
      <c r="DW40" t="s">
        <v>106</v>
      </c>
      <c r="DX40">
        <v>1</v>
      </c>
      <c r="EE40">
        <v>41567162</v>
      </c>
      <c r="EF40">
        <v>2</v>
      </c>
      <c r="EG40" t="s">
        <v>21</v>
      </c>
      <c r="EH40">
        <v>0</v>
      </c>
      <c r="EJ40">
        <v>1</v>
      </c>
      <c r="EK40">
        <v>17001</v>
      </c>
      <c r="EL40" t="s">
        <v>108</v>
      </c>
      <c r="EM40" t="s">
        <v>109</v>
      </c>
      <c r="EO40" t="s">
        <v>24</v>
      </c>
      <c r="EQ40">
        <v>0</v>
      </c>
      <c r="ER40">
        <v>57254.75</v>
      </c>
      <c r="ES40">
        <v>56581.51</v>
      </c>
      <c r="ET40">
        <v>84.88</v>
      </c>
      <c r="EU40">
        <v>8.24</v>
      </c>
      <c r="EV40">
        <v>588.36</v>
      </c>
      <c r="EW40">
        <v>61.16</v>
      </c>
      <c r="EX40">
        <v>0.61</v>
      </c>
      <c r="EY40">
        <v>0</v>
      </c>
      <c r="FQ40">
        <v>0</v>
      </c>
      <c r="FR40">
        <f t="shared" si="36"/>
        <v>0</v>
      </c>
      <c r="FS40">
        <v>0</v>
      </c>
      <c r="FT40" t="s">
        <v>25</v>
      </c>
      <c r="FU40" t="s">
        <v>26</v>
      </c>
      <c r="FX40">
        <v>80.64</v>
      </c>
      <c r="FY40">
        <v>63.495</v>
      </c>
      <c r="GD40">
        <v>0</v>
      </c>
      <c r="GF40">
        <v>-279571426</v>
      </c>
      <c r="GG40">
        <v>2</v>
      </c>
      <c r="GH40">
        <v>1</v>
      </c>
      <c r="GI40">
        <v>2</v>
      </c>
      <c r="GJ40">
        <v>0</v>
      </c>
      <c r="GK40">
        <f>ROUND(R40*(R12)/100,2)</f>
        <v>0</v>
      </c>
      <c r="GL40">
        <f t="shared" si="37"/>
        <v>0</v>
      </c>
      <c r="GM40">
        <f t="shared" si="38"/>
        <v>12577.119999999999</v>
      </c>
      <c r="GN40">
        <f t="shared" si="39"/>
        <v>12577.12</v>
      </c>
      <c r="GO40">
        <f t="shared" si="40"/>
        <v>0</v>
      </c>
      <c r="GP40">
        <f t="shared" si="41"/>
        <v>0</v>
      </c>
      <c r="GT40">
        <v>0</v>
      </c>
      <c r="GU40">
        <v>1</v>
      </c>
      <c r="GV40">
        <v>0</v>
      </c>
      <c r="GW40">
        <v>0</v>
      </c>
      <c r="GX40">
        <f t="shared" si="42"/>
        <v>0</v>
      </c>
    </row>
    <row r="41" spans="1:206" ht="12.75">
      <c r="A41">
        <v>18</v>
      </c>
      <c r="B41">
        <v>1</v>
      </c>
      <c r="C41">
        <v>105</v>
      </c>
      <c r="E41" t="s">
        <v>110</v>
      </c>
      <c r="F41" t="s">
        <v>111</v>
      </c>
      <c r="G41" t="s">
        <v>112</v>
      </c>
      <c r="H41" t="s">
        <v>44</v>
      </c>
      <c r="I41">
        <f>I40*J41</f>
        <v>-1</v>
      </c>
      <c r="J41">
        <v>-10</v>
      </c>
      <c r="O41">
        <f t="shared" si="10"/>
        <v>-7175.49</v>
      </c>
      <c r="P41">
        <f t="shared" si="11"/>
        <v>-7175.49</v>
      </c>
      <c r="Q41">
        <f t="shared" si="12"/>
        <v>0</v>
      </c>
      <c r="R41">
        <f t="shared" si="13"/>
        <v>0</v>
      </c>
      <c r="S41">
        <f t="shared" si="14"/>
        <v>0</v>
      </c>
      <c r="T41">
        <f t="shared" si="15"/>
        <v>0</v>
      </c>
      <c r="U41">
        <f t="shared" si="16"/>
        <v>0</v>
      </c>
      <c r="V41">
        <f t="shared" si="17"/>
        <v>0</v>
      </c>
      <c r="W41">
        <f t="shared" si="18"/>
        <v>0</v>
      </c>
      <c r="X41">
        <f t="shared" si="19"/>
        <v>0</v>
      </c>
      <c r="Y41">
        <f t="shared" si="20"/>
        <v>0</v>
      </c>
      <c r="AA41">
        <v>45926640</v>
      </c>
      <c r="AB41">
        <f t="shared" si="21"/>
        <v>5649.99</v>
      </c>
      <c r="AC41">
        <f t="shared" si="22"/>
        <v>5649.99</v>
      </c>
      <c r="AD41">
        <f>ROUND((((ET41)-(EU41))+AE41),6)</f>
        <v>0</v>
      </c>
      <c r="AE41">
        <f>ROUND((EU41),6)</f>
        <v>0</v>
      </c>
      <c r="AF41">
        <f>ROUND((EV41),6)</f>
        <v>0</v>
      </c>
      <c r="AG41">
        <f t="shared" si="23"/>
        <v>0</v>
      </c>
      <c r="AH41">
        <f>(EW41)</f>
        <v>0</v>
      </c>
      <c r="AI41">
        <f>(EX41)</f>
        <v>0</v>
      </c>
      <c r="AJ41">
        <f t="shared" si="24"/>
        <v>0</v>
      </c>
      <c r="AK41">
        <v>5649.99</v>
      </c>
      <c r="AL41">
        <v>5649.99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81</v>
      </c>
      <c r="AU41">
        <v>63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1.27</v>
      </c>
      <c r="BH41">
        <v>3</v>
      </c>
      <c r="BI41">
        <v>1</v>
      </c>
      <c r="BJ41" t="s">
        <v>113</v>
      </c>
      <c r="BM41">
        <v>17001</v>
      </c>
      <c r="BN41">
        <v>0</v>
      </c>
      <c r="BO41" t="s">
        <v>111</v>
      </c>
      <c r="BP41">
        <v>1</v>
      </c>
      <c r="BQ41">
        <v>2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128</v>
      </c>
      <c r="CA41">
        <v>83</v>
      </c>
      <c r="CF41">
        <v>0</v>
      </c>
      <c r="CG41">
        <v>0</v>
      </c>
      <c r="CM41">
        <v>0</v>
      </c>
      <c r="CO41">
        <v>0</v>
      </c>
      <c r="CP41">
        <f t="shared" si="25"/>
        <v>-7175.49</v>
      </c>
      <c r="CQ41">
        <f t="shared" si="26"/>
        <v>7175.4873</v>
      </c>
      <c r="CR41">
        <f t="shared" si="27"/>
        <v>0</v>
      </c>
      <c r="CS41">
        <f t="shared" si="28"/>
        <v>0</v>
      </c>
      <c r="CT41">
        <f t="shared" si="29"/>
        <v>0</v>
      </c>
      <c r="CU41">
        <f t="shared" si="30"/>
        <v>0</v>
      </c>
      <c r="CV41">
        <f t="shared" si="31"/>
        <v>0</v>
      </c>
      <c r="CW41">
        <f t="shared" si="32"/>
        <v>0</v>
      </c>
      <c r="CX41">
        <f t="shared" si="33"/>
        <v>0</v>
      </c>
      <c r="CY41">
        <f t="shared" si="34"/>
        <v>0</v>
      </c>
      <c r="CZ41">
        <f t="shared" si="35"/>
        <v>0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44</v>
      </c>
      <c r="DW41" t="s">
        <v>44</v>
      </c>
      <c r="DX41">
        <v>1</v>
      </c>
      <c r="EE41">
        <v>41567162</v>
      </c>
      <c r="EF41">
        <v>2</v>
      </c>
      <c r="EG41" t="s">
        <v>21</v>
      </c>
      <c r="EH41">
        <v>0</v>
      </c>
      <c r="EJ41">
        <v>1</v>
      </c>
      <c r="EK41">
        <v>17001</v>
      </c>
      <c r="EL41" t="s">
        <v>108</v>
      </c>
      <c r="EM41" t="s">
        <v>109</v>
      </c>
      <c r="EQ41">
        <v>0</v>
      </c>
      <c r="ER41">
        <v>5649.99</v>
      </c>
      <c r="ES41">
        <v>5649.99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36"/>
        <v>0</v>
      </c>
      <c r="FS41">
        <v>0</v>
      </c>
      <c r="FT41" t="s">
        <v>25</v>
      </c>
      <c r="FU41" t="s">
        <v>26</v>
      </c>
      <c r="FX41">
        <v>80.64</v>
      </c>
      <c r="FY41">
        <v>63.495</v>
      </c>
      <c r="GD41">
        <v>0</v>
      </c>
      <c r="GF41">
        <v>1921596583</v>
      </c>
      <c r="GG41">
        <v>2</v>
      </c>
      <c r="GH41">
        <v>1</v>
      </c>
      <c r="GI41">
        <v>2</v>
      </c>
      <c r="GJ41">
        <v>0</v>
      </c>
      <c r="GK41">
        <f>ROUND(R41*(R12)/100,2)</f>
        <v>0</v>
      </c>
      <c r="GL41">
        <f t="shared" si="37"/>
        <v>0</v>
      </c>
      <c r="GM41">
        <f t="shared" si="38"/>
        <v>-7175.49</v>
      </c>
      <c r="GN41">
        <f t="shared" si="39"/>
        <v>-7175.49</v>
      </c>
      <c r="GO41">
        <f t="shared" si="40"/>
        <v>0</v>
      </c>
      <c r="GP41">
        <f t="shared" si="41"/>
        <v>0</v>
      </c>
      <c r="GT41">
        <v>0</v>
      </c>
      <c r="GU41">
        <v>1</v>
      </c>
      <c r="GV41">
        <v>0</v>
      </c>
      <c r="GW41">
        <v>0</v>
      </c>
      <c r="GX41">
        <f t="shared" si="42"/>
        <v>0</v>
      </c>
    </row>
    <row r="42" spans="1:206" ht="12.75">
      <c r="A42">
        <v>18</v>
      </c>
      <c r="B42">
        <v>1</v>
      </c>
      <c r="C42">
        <v>106</v>
      </c>
      <c r="E42" t="s">
        <v>114</v>
      </c>
      <c r="F42" t="s">
        <v>115</v>
      </c>
      <c r="G42" t="s">
        <v>116</v>
      </c>
      <c r="H42" t="s">
        <v>44</v>
      </c>
      <c r="I42">
        <f>I40*J42</f>
        <v>1</v>
      </c>
      <c r="J42">
        <v>10</v>
      </c>
      <c r="O42">
        <f t="shared" si="10"/>
        <v>14115.4</v>
      </c>
      <c r="P42">
        <f t="shared" si="11"/>
        <v>14115.4</v>
      </c>
      <c r="Q42">
        <f t="shared" si="12"/>
        <v>0</v>
      </c>
      <c r="R42">
        <f t="shared" si="13"/>
        <v>0</v>
      </c>
      <c r="S42">
        <f t="shared" si="14"/>
        <v>0</v>
      </c>
      <c r="T42">
        <f t="shared" si="15"/>
        <v>0</v>
      </c>
      <c r="U42">
        <f t="shared" si="16"/>
        <v>0</v>
      </c>
      <c r="V42">
        <f t="shared" si="17"/>
        <v>0</v>
      </c>
      <c r="W42">
        <f t="shared" si="18"/>
        <v>3.62</v>
      </c>
      <c r="X42">
        <f t="shared" si="19"/>
        <v>0</v>
      </c>
      <c r="Y42">
        <f t="shared" si="20"/>
        <v>0</v>
      </c>
      <c r="AA42">
        <v>45926640</v>
      </c>
      <c r="AB42">
        <f t="shared" si="21"/>
        <v>7930</v>
      </c>
      <c r="AC42">
        <f t="shared" si="22"/>
        <v>7930</v>
      </c>
      <c r="AD42">
        <f>ROUND((((ET42)-(EU42))+AE42),6)</f>
        <v>0</v>
      </c>
      <c r="AE42">
        <f>ROUND((EU42),6)</f>
        <v>0</v>
      </c>
      <c r="AF42">
        <f>ROUND((EV42),6)</f>
        <v>0</v>
      </c>
      <c r="AG42">
        <f t="shared" si="23"/>
        <v>0</v>
      </c>
      <c r="AH42">
        <f>(EW42)</f>
        <v>0</v>
      </c>
      <c r="AI42">
        <f>(EX42)</f>
        <v>0</v>
      </c>
      <c r="AJ42">
        <f t="shared" si="24"/>
        <v>3.62</v>
      </c>
      <c r="AK42">
        <v>7930</v>
      </c>
      <c r="AL42">
        <v>7930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3.62</v>
      </c>
      <c r="AT42">
        <v>81</v>
      </c>
      <c r="AU42">
        <v>63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1.78</v>
      </c>
      <c r="BH42">
        <v>3</v>
      </c>
      <c r="BI42">
        <v>1</v>
      </c>
      <c r="BJ42" t="s">
        <v>117</v>
      </c>
      <c r="BM42">
        <v>17001</v>
      </c>
      <c r="BN42">
        <v>0</v>
      </c>
      <c r="BO42" t="s">
        <v>115</v>
      </c>
      <c r="BP42">
        <v>1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128</v>
      </c>
      <c r="CA42">
        <v>83</v>
      </c>
      <c r="CF42">
        <v>0</v>
      </c>
      <c r="CG42">
        <v>0</v>
      </c>
      <c r="CM42">
        <v>0</v>
      </c>
      <c r="CO42">
        <v>0</v>
      </c>
      <c r="CP42">
        <f t="shared" si="25"/>
        <v>14115.4</v>
      </c>
      <c r="CQ42">
        <f t="shared" si="26"/>
        <v>14115.4</v>
      </c>
      <c r="CR42">
        <f t="shared" si="27"/>
        <v>0</v>
      </c>
      <c r="CS42">
        <f t="shared" si="28"/>
        <v>0</v>
      </c>
      <c r="CT42">
        <f t="shared" si="29"/>
        <v>0</v>
      </c>
      <c r="CU42">
        <f t="shared" si="30"/>
        <v>0</v>
      </c>
      <c r="CV42">
        <f t="shared" si="31"/>
        <v>0</v>
      </c>
      <c r="CW42">
        <f t="shared" si="32"/>
        <v>0</v>
      </c>
      <c r="CX42">
        <f t="shared" si="33"/>
        <v>3.62</v>
      </c>
      <c r="CY42">
        <f t="shared" si="34"/>
        <v>0</v>
      </c>
      <c r="CZ42">
        <f t="shared" si="35"/>
        <v>0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44</v>
      </c>
      <c r="DW42" t="s">
        <v>44</v>
      </c>
      <c r="DX42">
        <v>1</v>
      </c>
      <c r="EE42">
        <v>41567162</v>
      </c>
      <c r="EF42">
        <v>2</v>
      </c>
      <c r="EG42" t="s">
        <v>21</v>
      </c>
      <c r="EH42">
        <v>0</v>
      </c>
      <c r="EJ42">
        <v>1</v>
      </c>
      <c r="EK42">
        <v>17001</v>
      </c>
      <c r="EL42" t="s">
        <v>108</v>
      </c>
      <c r="EM42" t="s">
        <v>109</v>
      </c>
      <c r="EQ42">
        <v>0</v>
      </c>
      <c r="ER42">
        <v>7930</v>
      </c>
      <c r="ES42">
        <v>7930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36"/>
        <v>0</v>
      </c>
      <c r="FS42">
        <v>0</v>
      </c>
      <c r="FT42" t="s">
        <v>25</v>
      </c>
      <c r="FU42" t="s">
        <v>26</v>
      </c>
      <c r="FX42">
        <v>80.64</v>
      </c>
      <c r="FY42">
        <v>63.495</v>
      </c>
      <c r="GA42" t="s">
        <v>95</v>
      </c>
      <c r="GD42">
        <v>0</v>
      </c>
      <c r="GF42">
        <v>-186917535</v>
      </c>
      <c r="GG42">
        <v>2</v>
      </c>
      <c r="GH42">
        <v>0</v>
      </c>
      <c r="GI42">
        <v>2</v>
      </c>
      <c r="GJ42">
        <v>0</v>
      </c>
      <c r="GK42">
        <f>ROUND(R42*(R12)/100,2)</f>
        <v>0</v>
      </c>
      <c r="GL42">
        <f t="shared" si="37"/>
        <v>0</v>
      </c>
      <c r="GM42">
        <f t="shared" si="38"/>
        <v>14115.4</v>
      </c>
      <c r="GN42">
        <f t="shared" si="39"/>
        <v>14115.4</v>
      </c>
      <c r="GO42">
        <f t="shared" si="40"/>
        <v>0</v>
      </c>
      <c r="GP42">
        <f t="shared" si="41"/>
        <v>0</v>
      </c>
      <c r="GT42">
        <v>0</v>
      </c>
      <c r="GU42">
        <v>1</v>
      </c>
      <c r="GV42">
        <v>0</v>
      </c>
      <c r="GW42">
        <v>0</v>
      </c>
      <c r="GX42">
        <f t="shared" si="42"/>
        <v>0</v>
      </c>
    </row>
    <row r="43" spans="1:206" ht="12.75">
      <c r="A43">
        <v>17</v>
      </c>
      <c r="B43">
        <v>1</v>
      </c>
      <c r="C43">
        <f>ROW(SmtRes!A122)</f>
        <v>122</v>
      </c>
      <c r="D43">
        <f>ROW(EtalonRes!A120)</f>
        <v>120</v>
      </c>
      <c r="E43" t="s">
        <v>118</v>
      </c>
      <c r="F43" t="s">
        <v>119</v>
      </c>
      <c r="G43" t="s">
        <v>120</v>
      </c>
      <c r="H43" t="s">
        <v>106</v>
      </c>
      <c r="I43">
        <f>ROUND(1/10,9)</f>
        <v>0.1</v>
      </c>
      <c r="J43">
        <v>0</v>
      </c>
      <c r="O43">
        <f t="shared" si="10"/>
        <v>4431.57</v>
      </c>
      <c r="P43">
        <f t="shared" si="11"/>
        <v>3515.01</v>
      </c>
      <c r="Q43">
        <f t="shared" si="12"/>
        <v>62.31</v>
      </c>
      <c r="R43">
        <f t="shared" si="13"/>
        <v>17.12</v>
      </c>
      <c r="S43">
        <f t="shared" si="14"/>
        <v>854.25</v>
      </c>
      <c r="T43">
        <f t="shared" si="15"/>
        <v>0</v>
      </c>
      <c r="U43">
        <f t="shared" si="16"/>
        <v>2.8336</v>
      </c>
      <c r="V43">
        <f t="shared" si="17"/>
        <v>0.04000000000000001</v>
      </c>
      <c r="W43">
        <f t="shared" si="18"/>
        <v>0</v>
      </c>
      <c r="X43">
        <f t="shared" si="19"/>
        <v>705.81</v>
      </c>
      <c r="Y43">
        <f t="shared" si="20"/>
        <v>548.96</v>
      </c>
      <c r="AA43">
        <v>45926640</v>
      </c>
      <c r="AB43">
        <f t="shared" si="21"/>
        <v>3754.247</v>
      </c>
      <c r="AC43">
        <f t="shared" si="22"/>
        <v>3429.28</v>
      </c>
      <c r="AD43">
        <f>ROUND(((((ET43*1.25))-((EU43*1.25)))+AE43),6)</f>
        <v>55.4875</v>
      </c>
      <c r="AE43">
        <f>ROUND(((EU43*1.25)),6)</f>
        <v>5.4</v>
      </c>
      <c r="AF43">
        <f>ROUND(((EV43*1.15)),6)</f>
        <v>269.4795</v>
      </c>
      <c r="AG43">
        <f t="shared" si="23"/>
        <v>0</v>
      </c>
      <c r="AH43">
        <f>((EW43*1.15))</f>
        <v>28.336</v>
      </c>
      <c r="AI43">
        <f>((EX43*1.25))</f>
        <v>0.4</v>
      </c>
      <c r="AJ43">
        <f t="shared" si="24"/>
        <v>0</v>
      </c>
      <c r="AK43">
        <v>3708</v>
      </c>
      <c r="AL43">
        <v>3429.28</v>
      </c>
      <c r="AM43">
        <v>44.39</v>
      </c>
      <c r="AN43">
        <v>4.32</v>
      </c>
      <c r="AO43">
        <v>234.33</v>
      </c>
      <c r="AP43">
        <v>0</v>
      </c>
      <c r="AQ43">
        <v>24.64</v>
      </c>
      <c r="AR43">
        <v>0.32</v>
      </c>
      <c r="AS43">
        <v>0</v>
      </c>
      <c r="AT43">
        <v>81</v>
      </c>
      <c r="AU43">
        <v>63</v>
      </c>
      <c r="AV43">
        <v>1</v>
      </c>
      <c r="AW43">
        <v>1</v>
      </c>
      <c r="AZ43">
        <v>1</v>
      </c>
      <c r="BA43">
        <v>31.7</v>
      </c>
      <c r="BB43">
        <v>11.23</v>
      </c>
      <c r="BC43">
        <v>10.25</v>
      </c>
      <c r="BH43">
        <v>0</v>
      </c>
      <c r="BI43">
        <v>1</v>
      </c>
      <c r="BJ43" t="s">
        <v>121</v>
      </c>
      <c r="BM43">
        <v>17001</v>
      </c>
      <c r="BN43">
        <v>0</v>
      </c>
      <c r="BO43" t="s">
        <v>119</v>
      </c>
      <c r="BP43">
        <v>1</v>
      </c>
      <c r="BQ43">
        <v>2</v>
      </c>
      <c r="BR43">
        <v>0</v>
      </c>
      <c r="BS43">
        <v>31.7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128</v>
      </c>
      <c r="CA43">
        <v>83</v>
      </c>
      <c r="CF43">
        <v>0</v>
      </c>
      <c r="CG43">
        <v>0</v>
      </c>
      <c r="CM43">
        <v>0</v>
      </c>
      <c r="CN43" t="s">
        <v>711</v>
      </c>
      <c r="CO43">
        <v>0</v>
      </c>
      <c r="CP43">
        <f t="shared" si="25"/>
        <v>4431.57</v>
      </c>
      <c r="CQ43">
        <f t="shared" si="26"/>
        <v>35150.12</v>
      </c>
      <c r="CR43">
        <f t="shared" si="27"/>
        <v>623.124625</v>
      </c>
      <c r="CS43">
        <f t="shared" si="28"/>
        <v>171.18</v>
      </c>
      <c r="CT43">
        <f t="shared" si="29"/>
        <v>8542.50015</v>
      </c>
      <c r="CU43">
        <f t="shared" si="30"/>
        <v>0</v>
      </c>
      <c r="CV43">
        <f t="shared" si="31"/>
        <v>28.336</v>
      </c>
      <c r="CW43">
        <f t="shared" si="32"/>
        <v>0.4</v>
      </c>
      <c r="CX43">
        <f t="shared" si="33"/>
        <v>0</v>
      </c>
      <c r="CY43">
        <f t="shared" si="34"/>
        <v>705.8097</v>
      </c>
      <c r="CZ43">
        <f t="shared" si="35"/>
        <v>548.9630999999999</v>
      </c>
      <c r="DE43" t="s">
        <v>19</v>
      </c>
      <c r="DF43" t="s">
        <v>19</v>
      </c>
      <c r="DG43" t="s">
        <v>20</v>
      </c>
      <c r="DI43" t="s">
        <v>20</v>
      </c>
      <c r="DJ43" t="s">
        <v>19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106</v>
      </c>
      <c r="DW43" t="s">
        <v>106</v>
      </c>
      <c r="DX43">
        <v>1</v>
      </c>
      <c r="EE43">
        <v>41567162</v>
      </c>
      <c r="EF43">
        <v>2</v>
      </c>
      <c r="EG43" t="s">
        <v>21</v>
      </c>
      <c r="EH43">
        <v>0</v>
      </c>
      <c r="EJ43">
        <v>1</v>
      </c>
      <c r="EK43">
        <v>17001</v>
      </c>
      <c r="EL43" t="s">
        <v>108</v>
      </c>
      <c r="EM43" t="s">
        <v>109</v>
      </c>
      <c r="EO43" t="s">
        <v>24</v>
      </c>
      <c r="EQ43">
        <v>0</v>
      </c>
      <c r="ER43">
        <v>3708</v>
      </c>
      <c r="ES43">
        <v>3429.28</v>
      </c>
      <c r="ET43">
        <v>44.39</v>
      </c>
      <c r="EU43">
        <v>4.32</v>
      </c>
      <c r="EV43">
        <v>234.33</v>
      </c>
      <c r="EW43">
        <v>24.64</v>
      </c>
      <c r="EX43">
        <v>0.32</v>
      </c>
      <c r="EY43">
        <v>0</v>
      </c>
      <c r="FQ43">
        <v>0</v>
      </c>
      <c r="FR43">
        <f t="shared" si="36"/>
        <v>0</v>
      </c>
      <c r="FS43">
        <v>0</v>
      </c>
      <c r="FT43" t="s">
        <v>25</v>
      </c>
      <c r="FU43" t="s">
        <v>26</v>
      </c>
      <c r="FX43">
        <v>80.64</v>
      </c>
      <c r="FY43">
        <v>63.495</v>
      </c>
      <c r="GD43">
        <v>0</v>
      </c>
      <c r="GF43">
        <v>460948846</v>
      </c>
      <c r="GG43">
        <v>2</v>
      </c>
      <c r="GH43">
        <v>1</v>
      </c>
      <c r="GI43">
        <v>2</v>
      </c>
      <c r="GJ43">
        <v>0</v>
      </c>
      <c r="GK43">
        <f>ROUND(R43*(R12)/100,2)</f>
        <v>0</v>
      </c>
      <c r="GL43">
        <f t="shared" si="37"/>
        <v>0</v>
      </c>
      <c r="GM43">
        <f t="shared" si="38"/>
        <v>5686.339999999999</v>
      </c>
      <c r="GN43">
        <f t="shared" si="39"/>
        <v>5686.34</v>
      </c>
      <c r="GO43">
        <f t="shared" si="40"/>
        <v>0</v>
      </c>
      <c r="GP43">
        <f t="shared" si="41"/>
        <v>0</v>
      </c>
      <c r="GT43">
        <v>0</v>
      </c>
      <c r="GU43">
        <v>1</v>
      </c>
      <c r="GV43">
        <v>0</v>
      </c>
      <c r="GW43">
        <v>0</v>
      </c>
      <c r="GX43">
        <f t="shared" si="42"/>
        <v>0</v>
      </c>
    </row>
    <row r="44" spans="1:206" ht="12.75">
      <c r="A44">
        <v>17</v>
      </c>
      <c r="B44">
        <v>1</v>
      </c>
      <c r="C44">
        <f>ROW(SmtRes!A137)</f>
        <v>137</v>
      </c>
      <c r="D44">
        <f>ROW(EtalonRes!A133)</f>
        <v>133</v>
      </c>
      <c r="E44" t="s">
        <v>122</v>
      </c>
      <c r="F44" t="s">
        <v>123</v>
      </c>
      <c r="G44" t="s">
        <v>124</v>
      </c>
      <c r="H44" t="s">
        <v>106</v>
      </c>
      <c r="I44">
        <f>ROUND(2/10,9)</f>
        <v>0.2</v>
      </c>
      <c r="J44">
        <v>0</v>
      </c>
      <c r="O44">
        <f t="shared" si="10"/>
        <v>4627.25</v>
      </c>
      <c r="P44">
        <f t="shared" si="11"/>
        <v>3043.94</v>
      </c>
      <c r="Q44">
        <f t="shared" si="12"/>
        <v>64.81</v>
      </c>
      <c r="R44">
        <f t="shared" si="13"/>
        <v>11.97</v>
      </c>
      <c r="S44">
        <f t="shared" si="14"/>
        <v>1518.5</v>
      </c>
      <c r="T44">
        <f t="shared" si="15"/>
        <v>0</v>
      </c>
      <c r="U44">
        <f t="shared" si="16"/>
        <v>4.9795</v>
      </c>
      <c r="V44">
        <f t="shared" si="17"/>
        <v>0.0325</v>
      </c>
      <c r="W44">
        <f t="shared" si="18"/>
        <v>0</v>
      </c>
      <c r="X44">
        <f t="shared" si="19"/>
        <v>1239.68</v>
      </c>
      <c r="Y44">
        <f t="shared" si="20"/>
        <v>964.2</v>
      </c>
      <c r="AA44">
        <v>45926640</v>
      </c>
      <c r="AB44">
        <f t="shared" si="21"/>
        <v>1646.398</v>
      </c>
      <c r="AC44">
        <f t="shared" si="22"/>
        <v>1377.35</v>
      </c>
      <c r="AD44">
        <f>ROUND(((((ET44*1.25))-((EU44*1.25)))+AE44),6)</f>
        <v>29.5375</v>
      </c>
      <c r="AE44">
        <f>ROUND(((EU44*1.25)),6)</f>
        <v>1.8875</v>
      </c>
      <c r="AF44">
        <f>ROUND(((EV44*1.15)),6)</f>
        <v>239.5105</v>
      </c>
      <c r="AG44">
        <f t="shared" si="23"/>
        <v>0</v>
      </c>
      <c r="AH44">
        <f>((EW44*1.15))</f>
        <v>24.897499999999997</v>
      </c>
      <c r="AI44">
        <f>((EX44*1.25))</f>
        <v>0.1625</v>
      </c>
      <c r="AJ44">
        <f t="shared" si="24"/>
        <v>0</v>
      </c>
      <c r="AK44">
        <v>1609.25</v>
      </c>
      <c r="AL44">
        <v>1377.35</v>
      </c>
      <c r="AM44">
        <v>23.63</v>
      </c>
      <c r="AN44">
        <v>1.51</v>
      </c>
      <c r="AO44">
        <v>208.27</v>
      </c>
      <c r="AP44">
        <v>0</v>
      </c>
      <c r="AQ44">
        <v>21.65</v>
      </c>
      <c r="AR44">
        <v>0.13</v>
      </c>
      <c r="AS44">
        <v>0</v>
      </c>
      <c r="AT44">
        <v>81</v>
      </c>
      <c r="AU44">
        <v>63</v>
      </c>
      <c r="AV44">
        <v>1</v>
      </c>
      <c r="AW44">
        <v>1</v>
      </c>
      <c r="AZ44">
        <v>1</v>
      </c>
      <c r="BA44">
        <v>31.7</v>
      </c>
      <c r="BB44">
        <v>10.97</v>
      </c>
      <c r="BC44">
        <v>11.05</v>
      </c>
      <c r="BH44">
        <v>0</v>
      </c>
      <c r="BI44">
        <v>1</v>
      </c>
      <c r="BJ44" t="s">
        <v>125</v>
      </c>
      <c r="BM44">
        <v>17001</v>
      </c>
      <c r="BN44">
        <v>0</v>
      </c>
      <c r="BO44" t="s">
        <v>123</v>
      </c>
      <c r="BP44">
        <v>1</v>
      </c>
      <c r="BQ44">
        <v>2</v>
      </c>
      <c r="BR44">
        <v>0</v>
      </c>
      <c r="BS44">
        <v>31.7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128</v>
      </c>
      <c r="CA44">
        <v>83</v>
      </c>
      <c r="CF44">
        <v>0</v>
      </c>
      <c r="CG44">
        <v>0</v>
      </c>
      <c r="CM44">
        <v>0</v>
      </c>
      <c r="CN44" t="s">
        <v>712</v>
      </c>
      <c r="CO44">
        <v>0</v>
      </c>
      <c r="CP44">
        <f t="shared" si="25"/>
        <v>4627.25</v>
      </c>
      <c r="CQ44">
        <f t="shared" si="26"/>
        <v>15219.7175</v>
      </c>
      <c r="CR44">
        <f t="shared" si="27"/>
        <v>324.02637500000003</v>
      </c>
      <c r="CS44">
        <f t="shared" si="28"/>
        <v>59.833749999999995</v>
      </c>
      <c r="CT44">
        <f t="shared" si="29"/>
        <v>7592.48285</v>
      </c>
      <c r="CU44">
        <f t="shared" si="30"/>
        <v>0</v>
      </c>
      <c r="CV44">
        <f t="shared" si="31"/>
        <v>24.897499999999997</v>
      </c>
      <c r="CW44">
        <f t="shared" si="32"/>
        <v>0.1625</v>
      </c>
      <c r="CX44">
        <f t="shared" si="33"/>
        <v>0</v>
      </c>
      <c r="CY44">
        <f t="shared" si="34"/>
        <v>1239.6807000000001</v>
      </c>
      <c r="CZ44">
        <f t="shared" si="35"/>
        <v>964.1961</v>
      </c>
      <c r="DE44" t="s">
        <v>19</v>
      </c>
      <c r="DF44" t="s">
        <v>19</v>
      </c>
      <c r="DG44" t="s">
        <v>20</v>
      </c>
      <c r="DI44" t="s">
        <v>20</v>
      </c>
      <c r="DJ44" t="s">
        <v>19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106</v>
      </c>
      <c r="DW44" t="s">
        <v>106</v>
      </c>
      <c r="DX44">
        <v>1</v>
      </c>
      <c r="EE44">
        <v>41567162</v>
      </c>
      <c r="EF44">
        <v>2</v>
      </c>
      <c r="EG44" t="s">
        <v>21</v>
      </c>
      <c r="EH44">
        <v>0</v>
      </c>
      <c r="EJ44">
        <v>1</v>
      </c>
      <c r="EK44">
        <v>17001</v>
      </c>
      <c r="EL44" t="s">
        <v>108</v>
      </c>
      <c r="EM44" t="s">
        <v>109</v>
      </c>
      <c r="EO44" t="s">
        <v>24</v>
      </c>
      <c r="EQ44">
        <v>0</v>
      </c>
      <c r="ER44">
        <v>1609.25</v>
      </c>
      <c r="ES44">
        <v>1377.35</v>
      </c>
      <c r="ET44">
        <v>23.63</v>
      </c>
      <c r="EU44">
        <v>1.51</v>
      </c>
      <c r="EV44">
        <v>208.27</v>
      </c>
      <c r="EW44">
        <v>21.65</v>
      </c>
      <c r="EX44">
        <v>0.13</v>
      </c>
      <c r="EY44">
        <v>0</v>
      </c>
      <c r="FQ44">
        <v>0</v>
      </c>
      <c r="FR44">
        <f t="shared" si="36"/>
        <v>0</v>
      </c>
      <c r="FS44">
        <v>0</v>
      </c>
      <c r="FT44" t="s">
        <v>25</v>
      </c>
      <c r="FU44" t="s">
        <v>26</v>
      </c>
      <c r="FX44">
        <v>80.64</v>
      </c>
      <c r="FY44">
        <v>63.495</v>
      </c>
      <c r="GD44">
        <v>0</v>
      </c>
      <c r="GF44">
        <v>-858785558</v>
      </c>
      <c r="GG44">
        <v>2</v>
      </c>
      <c r="GH44">
        <v>1</v>
      </c>
      <c r="GI44">
        <v>2</v>
      </c>
      <c r="GJ44">
        <v>0</v>
      </c>
      <c r="GK44">
        <f>ROUND(R44*(R12)/100,2)</f>
        <v>0</v>
      </c>
      <c r="GL44">
        <f t="shared" si="37"/>
        <v>0</v>
      </c>
      <c r="GM44">
        <f t="shared" si="38"/>
        <v>6831.13</v>
      </c>
      <c r="GN44">
        <f t="shared" si="39"/>
        <v>6831.13</v>
      </c>
      <c r="GO44">
        <f t="shared" si="40"/>
        <v>0</v>
      </c>
      <c r="GP44">
        <f t="shared" si="41"/>
        <v>0</v>
      </c>
      <c r="GT44">
        <v>0</v>
      </c>
      <c r="GU44">
        <v>1</v>
      </c>
      <c r="GV44">
        <v>0</v>
      </c>
      <c r="GW44">
        <v>0</v>
      </c>
      <c r="GX44">
        <f t="shared" si="42"/>
        <v>0</v>
      </c>
    </row>
    <row r="45" spans="1:206" ht="12.75">
      <c r="A45">
        <v>18</v>
      </c>
      <c r="B45">
        <v>1</v>
      </c>
      <c r="C45">
        <v>137</v>
      </c>
      <c r="E45" t="s">
        <v>126</v>
      </c>
      <c r="F45" t="s">
        <v>127</v>
      </c>
      <c r="G45" t="s">
        <v>128</v>
      </c>
      <c r="H45" t="s">
        <v>44</v>
      </c>
      <c r="I45">
        <f>I44*J45</f>
        <v>-2</v>
      </c>
      <c r="J45">
        <v>-10</v>
      </c>
      <c r="O45">
        <f t="shared" si="10"/>
        <v>-2979.6</v>
      </c>
      <c r="P45">
        <f t="shared" si="11"/>
        <v>-2979.6</v>
      </c>
      <c r="Q45">
        <f t="shared" si="12"/>
        <v>0</v>
      </c>
      <c r="R45">
        <f t="shared" si="13"/>
        <v>0</v>
      </c>
      <c r="S45">
        <f t="shared" si="14"/>
        <v>0</v>
      </c>
      <c r="T45">
        <f t="shared" si="15"/>
        <v>0</v>
      </c>
      <c r="U45">
        <f t="shared" si="16"/>
        <v>0</v>
      </c>
      <c r="V45">
        <f t="shared" si="17"/>
        <v>0</v>
      </c>
      <c r="W45">
        <f t="shared" si="18"/>
        <v>0</v>
      </c>
      <c r="X45">
        <f t="shared" si="19"/>
        <v>0</v>
      </c>
      <c r="Y45">
        <f t="shared" si="20"/>
        <v>0</v>
      </c>
      <c r="AA45">
        <v>45926640</v>
      </c>
      <c r="AB45">
        <f t="shared" si="21"/>
        <v>130</v>
      </c>
      <c r="AC45">
        <f t="shared" si="22"/>
        <v>130</v>
      </c>
      <c r="AD45">
        <f>ROUND(((((ET45*1.25))-((EU45*1.25)))+AE45),6)</f>
        <v>0</v>
      </c>
      <c r="AE45">
        <f>ROUND(((EU45*1.25)),6)</f>
        <v>0</v>
      </c>
      <c r="AF45">
        <f>ROUND(((EV45*1.15)),6)</f>
        <v>0</v>
      </c>
      <c r="AG45">
        <f t="shared" si="23"/>
        <v>0</v>
      </c>
      <c r="AH45">
        <f>((EW45*1.15))</f>
        <v>0</v>
      </c>
      <c r="AI45">
        <f>((EX45*1.25))</f>
        <v>0</v>
      </c>
      <c r="AJ45">
        <f t="shared" si="24"/>
        <v>0</v>
      </c>
      <c r="AK45">
        <v>130</v>
      </c>
      <c r="AL45">
        <v>130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81</v>
      </c>
      <c r="AU45">
        <v>63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11.46</v>
      </c>
      <c r="BH45">
        <v>3</v>
      </c>
      <c r="BI45">
        <v>1</v>
      </c>
      <c r="BJ45" t="s">
        <v>129</v>
      </c>
      <c r="BM45">
        <v>17001</v>
      </c>
      <c r="BN45">
        <v>0</v>
      </c>
      <c r="BO45" t="s">
        <v>127</v>
      </c>
      <c r="BP45">
        <v>1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128</v>
      </c>
      <c r="CA45">
        <v>83</v>
      </c>
      <c r="CF45">
        <v>0</v>
      </c>
      <c r="CG45">
        <v>0</v>
      </c>
      <c r="CM45">
        <v>0</v>
      </c>
      <c r="CN45" t="s">
        <v>712</v>
      </c>
      <c r="CO45">
        <v>0</v>
      </c>
      <c r="CP45">
        <f t="shared" si="25"/>
        <v>-2979.6</v>
      </c>
      <c r="CQ45">
        <f t="shared" si="26"/>
        <v>1489.8000000000002</v>
      </c>
      <c r="CR45">
        <f t="shared" si="27"/>
        <v>0</v>
      </c>
      <c r="CS45">
        <f t="shared" si="28"/>
        <v>0</v>
      </c>
      <c r="CT45">
        <f t="shared" si="29"/>
        <v>0</v>
      </c>
      <c r="CU45">
        <f t="shared" si="30"/>
        <v>0</v>
      </c>
      <c r="CV45">
        <f t="shared" si="31"/>
        <v>0</v>
      </c>
      <c r="CW45">
        <f t="shared" si="32"/>
        <v>0</v>
      </c>
      <c r="CX45">
        <f t="shared" si="33"/>
        <v>0</v>
      </c>
      <c r="CY45">
        <f t="shared" si="34"/>
        <v>0</v>
      </c>
      <c r="CZ45">
        <f t="shared" si="35"/>
        <v>0</v>
      </c>
      <c r="DE45" t="s">
        <v>19</v>
      </c>
      <c r="DF45" t="s">
        <v>19</v>
      </c>
      <c r="DG45" t="s">
        <v>20</v>
      </c>
      <c r="DI45" t="s">
        <v>20</v>
      </c>
      <c r="DJ45" t="s">
        <v>19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44</v>
      </c>
      <c r="DW45" t="s">
        <v>44</v>
      </c>
      <c r="DX45">
        <v>1</v>
      </c>
      <c r="EE45">
        <v>41567162</v>
      </c>
      <c r="EF45">
        <v>2</v>
      </c>
      <c r="EG45" t="s">
        <v>21</v>
      </c>
      <c r="EH45">
        <v>0</v>
      </c>
      <c r="EJ45">
        <v>1</v>
      </c>
      <c r="EK45">
        <v>17001</v>
      </c>
      <c r="EL45" t="s">
        <v>108</v>
      </c>
      <c r="EM45" t="s">
        <v>109</v>
      </c>
      <c r="EO45" t="s">
        <v>24</v>
      </c>
      <c r="EQ45">
        <v>0</v>
      </c>
      <c r="ER45">
        <v>130</v>
      </c>
      <c r="ES45">
        <v>130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36"/>
        <v>0</v>
      </c>
      <c r="FS45">
        <v>0</v>
      </c>
      <c r="FT45" t="s">
        <v>25</v>
      </c>
      <c r="FU45" t="s">
        <v>26</v>
      </c>
      <c r="FX45">
        <v>80.64</v>
      </c>
      <c r="FY45">
        <v>63.495</v>
      </c>
      <c r="GD45">
        <v>0</v>
      </c>
      <c r="GF45">
        <v>-43138101</v>
      </c>
      <c r="GG45">
        <v>2</v>
      </c>
      <c r="GH45">
        <v>1</v>
      </c>
      <c r="GI45">
        <v>2</v>
      </c>
      <c r="GJ45">
        <v>0</v>
      </c>
      <c r="GK45">
        <f>ROUND(R45*(R12)/100,2)</f>
        <v>0</v>
      </c>
      <c r="GL45">
        <f t="shared" si="37"/>
        <v>0</v>
      </c>
      <c r="GM45">
        <f t="shared" si="38"/>
        <v>-2979.6</v>
      </c>
      <c r="GN45">
        <f t="shared" si="39"/>
        <v>-2979.6</v>
      </c>
      <c r="GO45">
        <f t="shared" si="40"/>
        <v>0</v>
      </c>
      <c r="GP45">
        <f t="shared" si="41"/>
        <v>0</v>
      </c>
      <c r="GT45">
        <v>0</v>
      </c>
      <c r="GU45">
        <v>1</v>
      </c>
      <c r="GV45">
        <v>0</v>
      </c>
      <c r="GW45">
        <v>0</v>
      </c>
      <c r="GX45">
        <f t="shared" si="42"/>
        <v>0</v>
      </c>
    </row>
    <row r="46" spans="1:206" ht="12.75">
      <c r="A46">
        <v>18</v>
      </c>
      <c r="B46">
        <v>1</v>
      </c>
      <c r="C46">
        <v>135</v>
      </c>
      <c r="E46" t="s">
        <v>130</v>
      </c>
      <c r="F46" t="s">
        <v>131</v>
      </c>
      <c r="G46" t="s">
        <v>132</v>
      </c>
      <c r="H46" t="s">
        <v>133</v>
      </c>
      <c r="I46">
        <f>I44*J46</f>
        <v>2</v>
      </c>
      <c r="J46">
        <v>10</v>
      </c>
      <c r="O46">
        <f t="shared" si="10"/>
        <v>3299.1</v>
      </c>
      <c r="P46">
        <f t="shared" si="11"/>
        <v>3299.1</v>
      </c>
      <c r="Q46">
        <f t="shared" si="12"/>
        <v>0</v>
      </c>
      <c r="R46">
        <f t="shared" si="13"/>
        <v>0</v>
      </c>
      <c r="S46">
        <f t="shared" si="14"/>
        <v>0</v>
      </c>
      <c r="T46">
        <f t="shared" si="15"/>
        <v>0</v>
      </c>
      <c r="U46">
        <f t="shared" si="16"/>
        <v>0</v>
      </c>
      <c r="V46">
        <f t="shared" si="17"/>
        <v>0</v>
      </c>
      <c r="W46">
        <f t="shared" si="18"/>
        <v>0</v>
      </c>
      <c r="X46">
        <f t="shared" si="19"/>
        <v>0</v>
      </c>
      <c r="Y46">
        <f t="shared" si="20"/>
        <v>0</v>
      </c>
      <c r="AA46">
        <v>45926640</v>
      </c>
      <c r="AB46">
        <f t="shared" si="21"/>
        <v>1649.55</v>
      </c>
      <c r="AC46">
        <f t="shared" si="22"/>
        <v>1649.55</v>
      </c>
      <c r="AD46">
        <f>ROUND((((ET46)-(EU46))+AE46),6)</f>
        <v>0</v>
      </c>
      <c r="AE46">
        <f>ROUND((EU46),6)</f>
        <v>0</v>
      </c>
      <c r="AF46">
        <f>ROUND((EV46),6)</f>
        <v>0</v>
      </c>
      <c r="AG46">
        <f t="shared" si="23"/>
        <v>0</v>
      </c>
      <c r="AH46">
        <f>(EW46)</f>
        <v>0</v>
      </c>
      <c r="AI46">
        <f>(EX46)</f>
        <v>0</v>
      </c>
      <c r="AJ46">
        <f t="shared" si="24"/>
        <v>0</v>
      </c>
      <c r="AK46">
        <v>1649.55</v>
      </c>
      <c r="AL46">
        <v>1649.55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81</v>
      </c>
      <c r="AU46">
        <v>63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1</v>
      </c>
      <c r="BJ46" t="s">
        <v>134</v>
      </c>
      <c r="BM46">
        <v>17001</v>
      </c>
      <c r="BN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128</v>
      </c>
      <c r="CA46">
        <v>83</v>
      </c>
      <c r="CF46">
        <v>0</v>
      </c>
      <c r="CG46">
        <v>0</v>
      </c>
      <c r="CM46">
        <v>0</v>
      </c>
      <c r="CO46">
        <v>0</v>
      </c>
      <c r="CP46">
        <f t="shared" si="25"/>
        <v>3299.1</v>
      </c>
      <c r="CQ46">
        <f t="shared" si="26"/>
        <v>1649.55</v>
      </c>
      <c r="CR46">
        <f t="shared" si="27"/>
        <v>0</v>
      </c>
      <c r="CS46">
        <f t="shared" si="28"/>
        <v>0</v>
      </c>
      <c r="CT46">
        <f t="shared" si="29"/>
        <v>0</v>
      </c>
      <c r="CU46">
        <f t="shared" si="30"/>
        <v>0</v>
      </c>
      <c r="CV46">
        <f t="shared" si="31"/>
        <v>0</v>
      </c>
      <c r="CW46">
        <f t="shared" si="32"/>
        <v>0</v>
      </c>
      <c r="CX46">
        <f t="shared" si="33"/>
        <v>0</v>
      </c>
      <c r="CY46">
        <f t="shared" si="34"/>
        <v>0</v>
      </c>
      <c r="CZ46">
        <f t="shared" si="35"/>
        <v>0</v>
      </c>
      <c r="DN46">
        <v>0</v>
      </c>
      <c r="DO46">
        <v>0</v>
      </c>
      <c r="DP46">
        <v>1</v>
      </c>
      <c r="DQ46">
        <v>1</v>
      </c>
      <c r="DU46">
        <v>1010</v>
      </c>
      <c r="DV46" t="s">
        <v>133</v>
      </c>
      <c r="DW46" t="s">
        <v>133</v>
      </c>
      <c r="DX46">
        <v>1</v>
      </c>
      <c r="EE46">
        <v>41567162</v>
      </c>
      <c r="EF46">
        <v>2</v>
      </c>
      <c r="EG46" t="s">
        <v>21</v>
      </c>
      <c r="EH46">
        <v>0</v>
      </c>
      <c r="EJ46">
        <v>1</v>
      </c>
      <c r="EK46">
        <v>17001</v>
      </c>
      <c r="EL46" t="s">
        <v>108</v>
      </c>
      <c r="EM46" t="s">
        <v>109</v>
      </c>
      <c r="EQ46">
        <v>0</v>
      </c>
      <c r="ER46">
        <v>1649.55</v>
      </c>
      <c r="ES46">
        <v>1649.55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36"/>
        <v>0</v>
      </c>
      <c r="FS46">
        <v>0</v>
      </c>
      <c r="FT46" t="s">
        <v>25</v>
      </c>
      <c r="FU46" t="s">
        <v>26</v>
      </c>
      <c r="FX46">
        <v>80.64</v>
      </c>
      <c r="FY46">
        <v>63.495</v>
      </c>
      <c r="GD46">
        <v>0</v>
      </c>
      <c r="GF46">
        <v>-208459179</v>
      </c>
      <c r="GG46">
        <v>2</v>
      </c>
      <c r="GH46">
        <v>1</v>
      </c>
      <c r="GI46">
        <v>-2</v>
      </c>
      <c r="GJ46">
        <v>0</v>
      </c>
      <c r="GK46">
        <f>ROUND(R46*(R12)/100,2)</f>
        <v>0</v>
      </c>
      <c r="GL46">
        <f t="shared" si="37"/>
        <v>0</v>
      </c>
      <c r="GM46">
        <f t="shared" si="38"/>
        <v>3299.1</v>
      </c>
      <c r="GN46">
        <f t="shared" si="39"/>
        <v>3299.1</v>
      </c>
      <c r="GO46">
        <f t="shared" si="40"/>
        <v>0</v>
      </c>
      <c r="GP46">
        <f t="shared" si="41"/>
        <v>0</v>
      </c>
      <c r="GT46">
        <v>0</v>
      </c>
      <c r="GU46">
        <v>1</v>
      </c>
      <c r="GV46">
        <v>0</v>
      </c>
      <c r="GW46">
        <v>0</v>
      </c>
      <c r="GX46">
        <f t="shared" si="42"/>
        <v>0</v>
      </c>
    </row>
    <row r="47" spans="1:206" ht="12.75">
      <c r="A47">
        <v>18</v>
      </c>
      <c r="B47">
        <v>1</v>
      </c>
      <c r="C47">
        <v>136</v>
      </c>
      <c r="E47" t="s">
        <v>135</v>
      </c>
      <c r="F47" t="s">
        <v>136</v>
      </c>
      <c r="G47" t="s">
        <v>137</v>
      </c>
      <c r="H47" t="s">
        <v>133</v>
      </c>
      <c r="I47">
        <f>I44*J47</f>
        <v>2</v>
      </c>
      <c r="J47">
        <v>10</v>
      </c>
      <c r="O47">
        <f t="shared" si="10"/>
        <v>1382.06</v>
      </c>
      <c r="P47">
        <f t="shared" si="11"/>
        <v>1382.06</v>
      </c>
      <c r="Q47">
        <f t="shared" si="12"/>
        <v>0</v>
      </c>
      <c r="R47">
        <f t="shared" si="13"/>
        <v>0</v>
      </c>
      <c r="S47">
        <f t="shared" si="14"/>
        <v>0</v>
      </c>
      <c r="T47">
        <f t="shared" si="15"/>
        <v>0</v>
      </c>
      <c r="U47">
        <f t="shared" si="16"/>
        <v>0</v>
      </c>
      <c r="V47">
        <f t="shared" si="17"/>
        <v>0</v>
      </c>
      <c r="W47">
        <f t="shared" si="18"/>
        <v>0</v>
      </c>
      <c r="X47">
        <f t="shared" si="19"/>
        <v>0</v>
      </c>
      <c r="Y47">
        <f t="shared" si="20"/>
        <v>0</v>
      </c>
      <c r="AA47">
        <v>45926640</v>
      </c>
      <c r="AB47">
        <f t="shared" si="21"/>
        <v>691.03</v>
      </c>
      <c r="AC47">
        <f t="shared" si="22"/>
        <v>691.03</v>
      </c>
      <c r="AD47">
        <f>ROUND((((ET47)-(EU47))+AE47),6)</f>
        <v>0</v>
      </c>
      <c r="AE47">
        <f>ROUND((EU47),6)</f>
        <v>0</v>
      </c>
      <c r="AF47">
        <f>ROUND((EV47),6)</f>
        <v>0</v>
      </c>
      <c r="AG47">
        <f t="shared" si="23"/>
        <v>0</v>
      </c>
      <c r="AH47">
        <f>(EW47)</f>
        <v>0</v>
      </c>
      <c r="AI47">
        <f>(EX47)</f>
        <v>0</v>
      </c>
      <c r="AJ47">
        <f t="shared" si="24"/>
        <v>0</v>
      </c>
      <c r="AK47">
        <v>691.03</v>
      </c>
      <c r="AL47">
        <v>691.03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81</v>
      </c>
      <c r="AU47">
        <v>63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3</v>
      </c>
      <c r="BI47">
        <v>1</v>
      </c>
      <c r="BJ47" t="s">
        <v>138</v>
      </c>
      <c r="BM47">
        <v>17001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128</v>
      </c>
      <c r="CA47">
        <v>83</v>
      </c>
      <c r="CF47">
        <v>0</v>
      </c>
      <c r="CG47">
        <v>0</v>
      </c>
      <c r="CM47">
        <v>0</v>
      </c>
      <c r="CO47">
        <v>0</v>
      </c>
      <c r="CP47">
        <f t="shared" si="25"/>
        <v>1382.06</v>
      </c>
      <c r="CQ47">
        <f t="shared" si="26"/>
        <v>691.03</v>
      </c>
      <c r="CR47">
        <f t="shared" si="27"/>
        <v>0</v>
      </c>
      <c r="CS47">
        <f t="shared" si="28"/>
        <v>0</v>
      </c>
      <c r="CT47">
        <f t="shared" si="29"/>
        <v>0</v>
      </c>
      <c r="CU47">
        <f t="shared" si="30"/>
        <v>0</v>
      </c>
      <c r="CV47">
        <f t="shared" si="31"/>
        <v>0</v>
      </c>
      <c r="CW47">
        <f t="shared" si="32"/>
        <v>0</v>
      </c>
      <c r="CX47">
        <f t="shared" si="33"/>
        <v>0</v>
      </c>
      <c r="CY47">
        <f t="shared" si="34"/>
        <v>0</v>
      </c>
      <c r="CZ47">
        <f t="shared" si="35"/>
        <v>0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133</v>
      </c>
      <c r="DW47" t="s">
        <v>133</v>
      </c>
      <c r="DX47">
        <v>1</v>
      </c>
      <c r="EE47">
        <v>41567162</v>
      </c>
      <c r="EF47">
        <v>2</v>
      </c>
      <c r="EG47" t="s">
        <v>21</v>
      </c>
      <c r="EH47">
        <v>0</v>
      </c>
      <c r="EJ47">
        <v>1</v>
      </c>
      <c r="EK47">
        <v>17001</v>
      </c>
      <c r="EL47" t="s">
        <v>108</v>
      </c>
      <c r="EM47" t="s">
        <v>109</v>
      </c>
      <c r="EQ47">
        <v>0</v>
      </c>
      <c r="ER47">
        <v>691.03</v>
      </c>
      <c r="ES47">
        <v>691.03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36"/>
        <v>0</v>
      </c>
      <c r="FS47">
        <v>0</v>
      </c>
      <c r="FT47" t="s">
        <v>25</v>
      </c>
      <c r="FU47" t="s">
        <v>26</v>
      </c>
      <c r="FX47">
        <v>80.64</v>
      </c>
      <c r="FY47">
        <v>63.495</v>
      </c>
      <c r="GD47">
        <v>0</v>
      </c>
      <c r="GF47">
        <v>-734146123</v>
      </c>
      <c r="GG47">
        <v>2</v>
      </c>
      <c r="GH47">
        <v>1</v>
      </c>
      <c r="GI47">
        <v>-2</v>
      </c>
      <c r="GJ47">
        <v>0</v>
      </c>
      <c r="GK47">
        <f>ROUND(R47*(R12)/100,2)</f>
        <v>0</v>
      </c>
      <c r="GL47">
        <f t="shared" si="37"/>
        <v>0</v>
      </c>
      <c r="GM47">
        <f t="shared" si="38"/>
        <v>1382.06</v>
      </c>
      <c r="GN47">
        <f t="shared" si="39"/>
        <v>1382.06</v>
      </c>
      <c r="GO47">
        <f t="shared" si="40"/>
        <v>0</v>
      </c>
      <c r="GP47">
        <f t="shared" si="41"/>
        <v>0</v>
      </c>
      <c r="GT47">
        <v>0</v>
      </c>
      <c r="GU47">
        <v>1</v>
      </c>
      <c r="GV47">
        <v>0</v>
      </c>
      <c r="GW47">
        <v>0</v>
      </c>
      <c r="GX47">
        <f t="shared" si="42"/>
        <v>0</v>
      </c>
    </row>
    <row r="48" spans="1:206" ht="12.75">
      <c r="A48">
        <v>17</v>
      </c>
      <c r="B48">
        <v>1</v>
      </c>
      <c r="C48">
        <f>ROW(SmtRes!A146)</f>
        <v>146</v>
      </c>
      <c r="D48">
        <f>ROW(EtalonRes!A141)</f>
        <v>141</v>
      </c>
      <c r="E48" t="s">
        <v>139</v>
      </c>
      <c r="F48" t="s">
        <v>140</v>
      </c>
      <c r="G48" t="s">
        <v>141</v>
      </c>
      <c r="H48" t="s">
        <v>142</v>
      </c>
      <c r="I48">
        <f>ROUND(2/10,9)</f>
        <v>0.2</v>
      </c>
      <c r="J48">
        <v>0</v>
      </c>
      <c r="O48">
        <f t="shared" si="10"/>
        <v>1624.38</v>
      </c>
      <c r="P48">
        <f t="shared" si="11"/>
        <v>1133.22</v>
      </c>
      <c r="Q48">
        <f t="shared" si="12"/>
        <v>0.18</v>
      </c>
      <c r="R48">
        <f t="shared" si="13"/>
        <v>0</v>
      </c>
      <c r="S48">
        <f t="shared" si="14"/>
        <v>490.98</v>
      </c>
      <c r="T48">
        <f t="shared" si="15"/>
        <v>0</v>
      </c>
      <c r="U48">
        <f t="shared" si="16"/>
        <v>1.6099999999999999</v>
      </c>
      <c r="V48">
        <f t="shared" si="17"/>
        <v>0</v>
      </c>
      <c r="W48">
        <f t="shared" si="18"/>
        <v>0</v>
      </c>
      <c r="X48">
        <f t="shared" si="19"/>
        <v>397.69</v>
      </c>
      <c r="Y48">
        <f t="shared" si="20"/>
        <v>309.32</v>
      </c>
      <c r="AA48">
        <v>45926640</v>
      </c>
      <c r="AB48">
        <f t="shared" si="21"/>
        <v>1523.121</v>
      </c>
      <c r="AC48">
        <f t="shared" si="22"/>
        <v>1445.43</v>
      </c>
      <c r="AD48">
        <f>ROUND(((((ET48*1.25))-((EU48*1.25)))+AE48),6)</f>
        <v>0.25</v>
      </c>
      <c r="AE48">
        <f>ROUND(((EU48*1.25)),6)</f>
        <v>0</v>
      </c>
      <c r="AF48">
        <f>ROUND(((EV48*1.15)),6)</f>
        <v>77.441</v>
      </c>
      <c r="AG48">
        <f t="shared" si="23"/>
        <v>0</v>
      </c>
      <c r="AH48">
        <f>((EW48*1.15))</f>
        <v>8.049999999999999</v>
      </c>
      <c r="AI48">
        <f>((EX48*1.25))</f>
        <v>0</v>
      </c>
      <c r="AJ48">
        <f t="shared" si="24"/>
        <v>0</v>
      </c>
      <c r="AK48">
        <v>1512.97</v>
      </c>
      <c r="AL48">
        <v>1445.43</v>
      </c>
      <c r="AM48">
        <v>0.2</v>
      </c>
      <c r="AN48">
        <v>0</v>
      </c>
      <c r="AO48">
        <v>67.34</v>
      </c>
      <c r="AP48">
        <v>0</v>
      </c>
      <c r="AQ48">
        <v>7</v>
      </c>
      <c r="AR48">
        <v>0</v>
      </c>
      <c r="AS48">
        <v>0</v>
      </c>
      <c r="AT48">
        <v>81</v>
      </c>
      <c r="AU48">
        <v>63</v>
      </c>
      <c r="AV48">
        <v>1</v>
      </c>
      <c r="AW48">
        <v>1</v>
      </c>
      <c r="AZ48">
        <v>1</v>
      </c>
      <c r="BA48">
        <v>31.7</v>
      </c>
      <c r="BB48">
        <v>3.65</v>
      </c>
      <c r="BC48">
        <v>3.92</v>
      </c>
      <c r="BH48">
        <v>0</v>
      </c>
      <c r="BI48">
        <v>1</v>
      </c>
      <c r="BJ48" t="s">
        <v>143</v>
      </c>
      <c r="BM48">
        <v>17001</v>
      </c>
      <c r="BN48">
        <v>0</v>
      </c>
      <c r="BO48" t="s">
        <v>140</v>
      </c>
      <c r="BP48">
        <v>1</v>
      </c>
      <c r="BQ48">
        <v>2</v>
      </c>
      <c r="BR48">
        <v>0</v>
      </c>
      <c r="BS48">
        <v>31.7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128</v>
      </c>
      <c r="CA48">
        <v>83</v>
      </c>
      <c r="CF48">
        <v>0</v>
      </c>
      <c r="CG48">
        <v>0</v>
      </c>
      <c r="CM48">
        <v>0</v>
      </c>
      <c r="CN48" t="s">
        <v>711</v>
      </c>
      <c r="CO48">
        <v>0</v>
      </c>
      <c r="CP48">
        <f t="shared" si="25"/>
        <v>1624.38</v>
      </c>
      <c r="CQ48">
        <f t="shared" si="26"/>
        <v>5666.0856</v>
      </c>
      <c r="CR48">
        <f t="shared" si="27"/>
        <v>0.9125</v>
      </c>
      <c r="CS48">
        <f t="shared" si="28"/>
        <v>0</v>
      </c>
      <c r="CT48">
        <f t="shared" si="29"/>
        <v>2454.8797</v>
      </c>
      <c r="CU48">
        <f t="shared" si="30"/>
        <v>0</v>
      </c>
      <c r="CV48">
        <f t="shared" si="31"/>
        <v>8.049999999999999</v>
      </c>
      <c r="CW48">
        <f t="shared" si="32"/>
        <v>0</v>
      </c>
      <c r="CX48">
        <f t="shared" si="33"/>
        <v>0</v>
      </c>
      <c r="CY48">
        <f t="shared" si="34"/>
        <v>397.69380000000007</v>
      </c>
      <c r="CZ48">
        <f t="shared" si="35"/>
        <v>309.3174</v>
      </c>
      <c r="DE48" t="s">
        <v>19</v>
      </c>
      <c r="DF48" t="s">
        <v>19</v>
      </c>
      <c r="DG48" t="s">
        <v>20</v>
      </c>
      <c r="DI48" t="s">
        <v>20</v>
      </c>
      <c r="DJ48" t="s">
        <v>19</v>
      </c>
      <c r="DN48">
        <v>0</v>
      </c>
      <c r="DO48">
        <v>0</v>
      </c>
      <c r="DP48">
        <v>1</v>
      </c>
      <c r="DQ48">
        <v>1</v>
      </c>
      <c r="DU48">
        <v>1010</v>
      </c>
      <c r="DV48" t="s">
        <v>142</v>
      </c>
      <c r="DW48" t="s">
        <v>142</v>
      </c>
      <c r="DX48">
        <v>10</v>
      </c>
      <c r="EE48">
        <v>41567162</v>
      </c>
      <c r="EF48">
        <v>2</v>
      </c>
      <c r="EG48" t="s">
        <v>21</v>
      </c>
      <c r="EH48">
        <v>0</v>
      </c>
      <c r="EJ48">
        <v>1</v>
      </c>
      <c r="EK48">
        <v>17001</v>
      </c>
      <c r="EL48" t="s">
        <v>108</v>
      </c>
      <c r="EM48" t="s">
        <v>109</v>
      </c>
      <c r="EO48" t="s">
        <v>24</v>
      </c>
      <c r="EQ48">
        <v>0</v>
      </c>
      <c r="ER48">
        <v>1512.97</v>
      </c>
      <c r="ES48">
        <v>1445.43</v>
      </c>
      <c r="ET48">
        <v>0.2</v>
      </c>
      <c r="EU48">
        <v>0</v>
      </c>
      <c r="EV48">
        <v>67.34</v>
      </c>
      <c r="EW48">
        <v>7</v>
      </c>
      <c r="EX48">
        <v>0</v>
      </c>
      <c r="EY48">
        <v>0</v>
      </c>
      <c r="FQ48">
        <v>0</v>
      </c>
      <c r="FR48">
        <f t="shared" si="36"/>
        <v>0</v>
      </c>
      <c r="FS48">
        <v>0</v>
      </c>
      <c r="FT48" t="s">
        <v>25</v>
      </c>
      <c r="FU48" t="s">
        <v>26</v>
      </c>
      <c r="FX48">
        <v>80.64</v>
      </c>
      <c r="FY48">
        <v>63.495</v>
      </c>
      <c r="GD48">
        <v>0</v>
      </c>
      <c r="GF48">
        <v>-300941850</v>
      </c>
      <c r="GG48">
        <v>2</v>
      </c>
      <c r="GH48">
        <v>1</v>
      </c>
      <c r="GI48">
        <v>2</v>
      </c>
      <c r="GJ48">
        <v>0</v>
      </c>
      <c r="GK48">
        <f>ROUND(R48*(R12)/100,2)</f>
        <v>0</v>
      </c>
      <c r="GL48">
        <f t="shared" si="37"/>
        <v>0</v>
      </c>
      <c r="GM48">
        <f t="shared" si="38"/>
        <v>2331.3900000000003</v>
      </c>
      <c r="GN48">
        <f t="shared" si="39"/>
        <v>2331.39</v>
      </c>
      <c r="GO48">
        <f t="shared" si="40"/>
        <v>0</v>
      </c>
      <c r="GP48">
        <f t="shared" si="41"/>
        <v>0</v>
      </c>
      <c r="GT48">
        <v>0</v>
      </c>
      <c r="GU48">
        <v>1</v>
      </c>
      <c r="GV48">
        <v>0</v>
      </c>
      <c r="GW48">
        <v>0</v>
      </c>
      <c r="GX48">
        <f t="shared" si="42"/>
        <v>0</v>
      </c>
    </row>
    <row r="49" spans="1:206" ht="12.75">
      <c r="A49">
        <v>18</v>
      </c>
      <c r="B49">
        <v>1</v>
      </c>
      <c r="C49">
        <v>146</v>
      </c>
      <c r="E49" t="s">
        <v>144</v>
      </c>
      <c r="F49" t="s">
        <v>145</v>
      </c>
      <c r="G49" t="s">
        <v>146</v>
      </c>
      <c r="H49" t="s">
        <v>133</v>
      </c>
      <c r="I49">
        <f>I48*J49</f>
        <v>-2</v>
      </c>
      <c r="J49">
        <v>-10</v>
      </c>
      <c r="O49">
        <f t="shared" si="10"/>
        <v>-1123.98</v>
      </c>
      <c r="P49">
        <f t="shared" si="11"/>
        <v>-1123.98</v>
      </c>
      <c r="Q49">
        <f t="shared" si="12"/>
        <v>0</v>
      </c>
      <c r="R49">
        <f t="shared" si="13"/>
        <v>0</v>
      </c>
      <c r="S49">
        <f t="shared" si="14"/>
        <v>0</v>
      </c>
      <c r="T49">
        <f t="shared" si="15"/>
        <v>0</v>
      </c>
      <c r="U49">
        <f t="shared" si="16"/>
        <v>0</v>
      </c>
      <c r="V49">
        <f t="shared" si="17"/>
        <v>0</v>
      </c>
      <c r="W49">
        <f t="shared" si="18"/>
        <v>-0.08</v>
      </c>
      <c r="X49">
        <f t="shared" si="19"/>
        <v>0</v>
      </c>
      <c r="Y49">
        <f t="shared" si="20"/>
        <v>0</v>
      </c>
      <c r="AA49">
        <v>45926640</v>
      </c>
      <c r="AB49">
        <f t="shared" si="21"/>
        <v>143</v>
      </c>
      <c r="AC49">
        <f t="shared" si="22"/>
        <v>143</v>
      </c>
      <c r="AD49">
        <f>ROUND((((ET49)-(EU49))+AE49),6)</f>
        <v>0</v>
      </c>
      <c r="AE49">
        <f>ROUND((EU49),6)</f>
        <v>0</v>
      </c>
      <c r="AF49">
        <f>ROUND((EV49),6)</f>
        <v>0</v>
      </c>
      <c r="AG49">
        <f t="shared" si="23"/>
        <v>0</v>
      </c>
      <c r="AH49">
        <f>(EW49)</f>
        <v>0</v>
      </c>
      <c r="AI49">
        <f>(EX49)</f>
        <v>0</v>
      </c>
      <c r="AJ49">
        <f t="shared" si="24"/>
        <v>0.04</v>
      </c>
      <c r="AK49">
        <v>143</v>
      </c>
      <c r="AL49">
        <v>143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0.04</v>
      </c>
      <c r="AT49">
        <v>81</v>
      </c>
      <c r="AU49">
        <v>63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3.93</v>
      </c>
      <c r="BH49">
        <v>3</v>
      </c>
      <c r="BI49">
        <v>1</v>
      </c>
      <c r="BJ49" t="s">
        <v>147</v>
      </c>
      <c r="BM49">
        <v>17001</v>
      </c>
      <c r="BN49">
        <v>0</v>
      </c>
      <c r="BO49" t="s">
        <v>145</v>
      </c>
      <c r="BP49">
        <v>1</v>
      </c>
      <c r="BQ49">
        <v>2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128</v>
      </c>
      <c r="CA49">
        <v>83</v>
      </c>
      <c r="CF49">
        <v>0</v>
      </c>
      <c r="CG49">
        <v>0</v>
      </c>
      <c r="CM49">
        <v>0</v>
      </c>
      <c r="CO49">
        <v>0</v>
      </c>
      <c r="CP49">
        <f t="shared" si="25"/>
        <v>-1123.98</v>
      </c>
      <c r="CQ49">
        <f t="shared" si="26"/>
        <v>561.99</v>
      </c>
      <c r="CR49">
        <f t="shared" si="27"/>
        <v>0</v>
      </c>
      <c r="CS49">
        <f t="shared" si="28"/>
        <v>0</v>
      </c>
      <c r="CT49">
        <f t="shared" si="29"/>
        <v>0</v>
      </c>
      <c r="CU49">
        <f t="shared" si="30"/>
        <v>0</v>
      </c>
      <c r="CV49">
        <f t="shared" si="31"/>
        <v>0</v>
      </c>
      <c r="CW49">
        <f t="shared" si="32"/>
        <v>0</v>
      </c>
      <c r="CX49">
        <f t="shared" si="33"/>
        <v>0.04</v>
      </c>
      <c r="CY49">
        <f t="shared" si="34"/>
        <v>0</v>
      </c>
      <c r="CZ49">
        <f t="shared" si="35"/>
        <v>0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133</v>
      </c>
      <c r="DW49" t="s">
        <v>133</v>
      </c>
      <c r="DX49">
        <v>1</v>
      </c>
      <c r="EE49">
        <v>41567162</v>
      </c>
      <c r="EF49">
        <v>2</v>
      </c>
      <c r="EG49" t="s">
        <v>21</v>
      </c>
      <c r="EH49">
        <v>0</v>
      </c>
      <c r="EJ49">
        <v>1</v>
      </c>
      <c r="EK49">
        <v>17001</v>
      </c>
      <c r="EL49" t="s">
        <v>108</v>
      </c>
      <c r="EM49" t="s">
        <v>109</v>
      </c>
      <c r="EQ49">
        <v>32768</v>
      </c>
      <c r="ER49">
        <v>143</v>
      </c>
      <c r="ES49">
        <v>143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36"/>
        <v>0</v>
      </c>
      <c r="FS49">
        <v>0</v>
      </c>
      <c r="FT49" t="s">
        <v>25</v>
      </c>
      <c r="FU49" t="s">
        <v>26</v>
      </c>
      <c r="FX49">
        <v>80.64</v>
      </c>
      <c r="FY49">
        <v>63.495</v>
      </c>
      <c r="GD49">
        <v>0</v>
      </c>
      <c r="GF49">
        <v>-837193999</v>
      </c>
      <c r="GG49">
        <v>2</v>
      </c>
      <c r="GH49">
        <v>1</v>
      </c>
      <c r="GI49">
        <v>2</v>
      </c>
      <c r="GJ49">
        <v>0</v>
      </c>
      <c r="GK49">
        <f>ROUND(R49*(R12)/100,2)</f>
        <v>0</v>
      </c>
      <c r="GL49">
        <f t="shared" si="37"/>
        <v>0</v>
      </c>
      <c r="GM49">
        <f t="shared" si="38"/>
        <v>-1123.98</v>
      </c>
      <c r="GN49">
        <f t="shared" si="39"/>
        <v>-1123.98</v>
      </c>
      <c r="GO49">
        <f t="shared" si="40"/>
        <v>0</v>
      </c>
      <c r="GP49">
        <f t="shared" si="41"/>
        <v>0</v>
      </c>
      <c r="GT49">
        <v>0</v>
      </c>
      <c r="GU49">
        <v>1</v>
      </c>
      <c r="GV49">
        <v>0</v>
      </c>
      <c r="GW49">
        <v>0</v>
      </c>
      <c r="GX49">
        <f t="shared" si="42"/>
        <v>0</v>
      </c>
    </row>
    <row r="50" spans="1:206" ht="12.75">
      <c r="A50">
        <v>18</v>
      </c>
      <c r="B50">
        <v>1</v>
      </c>
      <c r="C50">
        <v>145</v>
      </c>
      <c r="E50" t="s">
        <v>148</v>
      </c>
      <c r="F50" t="s">
        <v>149</v>
      </c>
      <c r="G50" t="s">
        <v>150</v>
      </c>
      <c r="H50" t="s">
        <v>133</v>
      </c>
      <c r="I50">
        <f>I48*J50</f>
        <v>2</v>
      </c>
      <c r="J50">
        <v>10</v>
      </c>
      <c r="O50">
        <f t="shared" si="10"/>
        <v>2389.56</v>
      </c>
      <c r="P50">
        <f t="shared" si="11"/>
        <v>2389.56</v>
      </c>
      <c r="Q50">
        <f t="shared" si="12"/>
        <v>0</v>
      </c>
      <c r="R50">
        <f t="shared" si="13"/>
        <v>0</v>
      </c>
      <c r="S50">
        <f t="shared" si="14"/>
        <v>0</v>
      </c>
      <c r="T50">
        <f t="shared" si="15"/>
        <v>0</v>
      </c>
      <c r="U50">
        <f t="shared" si="16"/>
        <v>0</v>
      </c>
      <c r="V50">
        <f t="shared" si="17"/>
        <v>0</v>
      </c>
      <c r="W50">
        <f t="shared" si="18"/>
        <v>0</v>
      </c>
      <c r="X50">
        <f t="shared" si="19"/>
        <v>0</v>
      </c>
      <c r="Y50">
        <f t="shared" si="20"/>
        <v>0</v>
      </c>
      <c r="AA50">
        <v>45926640</v>
      </c>
      <c r="AB50">
        <f t="shared" si="21"/>
        <v>1194.78</v>
      </c>
      <c r="AC50">
        <f t="shared" si="22"/>
        <v>1194.78</v>
      </c>
      <c r="AD50">
        <f>ROUND((((ET50)-(EU50))+AE50),6)</f>
        <v>0</v>
      </c>
      <c r="AE50">
        <f>ROUND((EU50),6)</f>
        <v>0</v>
      </c>
      <c r="AF50">
        <f>ROUND((EV50),6)</f>
        <v>0</v>
      </c>
      <c r="AG50">
        <f t="shared" si="23"/>
        <v>0</v>
      </c>
      <c r="AH50">
        <f>(EW50)</f>
        <v>0</v>
      </c>
      <c r="AI50">
        <f>(EX50)</f>
        <v>0</v>
      </c>
      <c r="AJ50">
        <f t="shared" si="24"/>
        <v>0</v>
      </c>
      <c r="AK50">
        <v>1194.78</v>
      </c>
      <c r="AL50">
        <v>1194.78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81</v>
      </c>
      <c r="AU50">
        <v>63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3</v>
      </c>
      <c r="BI50">
        <v>1</v>
      </c>
      <c r="BJ50" t="s">
        <v>151</v>
      </c>
      <c r="BM50">
        <v>17001</v>
      </c>
      <c r="BN50">
        <v>0</v>
      </c>
      <c r="BP50">
        <v>0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128</v>
      </c>
      <c r="CA50">
        <v>83</v>
      </c>
      <c r="CF50">
        <v>0</v>
      </c>
      <c r="CG50">
        <v>0</v>
      </c>
      <c r="CM50">
        <v>0</v>
      </c>
      <c r="CO50">
        <v>0</v>
      </c>
      <c r="CP50">
        <f t="shared" si="25"/>
        <v>2389.56</v>
      </c>
      <c r="CQ50">
        <f t="shared" si="26"/>
        <v>1194.78</v>
      </c>
      <c r="CR50">
        <f t="shared" si="27"/>
        <v>0</v>
      </c>
      <c r="CS50">
        <f t="shared" si="28"/>
        <v>0</v>
      </c>
      <c r="CT50">
        <f t="shared" si="29"/>
        <v>0</v>
      </c>
      <c r="CU50">
        <f t="shared" si="30"/>
        <v>0</v>
      </c>
      <c r="CV50">
        <f t="shared" si="31"/>
        <v>0</v>
      </c>
      <c r="CW50">
        <f t="shared" si="32"/>
        <v>0</v>
      </c>
      <c r="CX50">
        <f t="shared" si="33"/>
        <v>0</v>
      </c>
      <c r="CY50">
        <f t="shared" si="34"/>
        <v>0</v>
      </c>
      <c r="CZ50">
        <f t="shared" si="35"/>
        <v>0</v>
      </c>
      <c r="DN50">
        <v>0</v>
      </c>
      <c r="DO50">
        <v>0</v>
      </c>
      <c r="DP50">
        <v>1</v>
      </c>
      <c r="DQ50">
        <v>1</v>
      </c>
      <c r="DU50">
        <v>1010</v>
      </c>
      <c r="DV50" t="s">
        <v>133</v>
      </c>
      <c r="DW50" t="s">
        <v>133</v>
      </c>
      <c r="DX50">
        <v>1</v>
      </c>
      <c r="EE50">
        <v>41567162</v>
      </c>
      <c r="EF50">
        <v>2</v>
      </c>
      <c r="EG50" t="s">
        <v>21</v>
      </c>
      <c r="EH50">
        <v>0</v>
      </c>
      <c r="EJ50">
        <v>1</v>
      </c>
      <c r="EK50">
        <v>17001</v>
      </c>
      <c r="EL50" t="s">
        <v>108</v>
      </c>
      <c r="EM50" t="s">
        <v>109</v>
      </c>
      <c r="EQ50">
        <v>0</v>
      </c>
      <c r="ER50">
        <v>1194.78</v>
      </c>
      <c r="ES50">
        <v>1194.78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36"/>
        <v>0</v>
      </c>
      <c r="FS50">
        <v>0</v>
      </c>
      <c r="FT50" t="s">
        <v>25</v>
      </c>
      <c r="FU50" t="s">
        <v>26</v>
      </c>
      <c r="FX50">
        <v>80.64</v>
      </c>
      <c r="FY50">
        <v>63.495</v>
      </c>
      <c r="GA50" t="s">
        <v>95</v>
      </c>
      <c r="GD50">
        <v>0</v>
      </c>
      <c r="GF50">
        <v>-18190812</v>
      </c>
      <c r="GG50">
        <v>2</v>
      </c>
      <c r="GH50">
        <v>0</v>
      </c>
      <c r="GI50">
        <v>-2</v>
      </c>
      <c r="GJ50">
        <v>0</v>
      </c>
      <c r="GK50">
        <f>ROUND(R50*(R12)/100,2)</f>
        <v>0</v>
      </c>
      <c r="GL50">
        <f t="shared" si="37"/>
        <v>0</v>
      </c>
      <c r="GM50">
        <f t="shared" si="38"/>
        <v>2389.56</v>
      </c>
      <c r="GN50">
        <f t="shared" si="39"/>
        <v>2389.56</v>
      </c>
      <c r="GO50">
        <f t="shared" si="40"/>
        <v>0</v>
      </c>
      <c r="GP50">
        <f t="shared" si="41"/>
        <v>0</v>
      </c>
      <c r="GT50">
        <v>0</v>
      </c>
      <c r="GU50">
        <v>1</v>
      </c>
      <c r="GV50">
        <v>0</v>
      </c>
      <c r="GW50">
        <v>0</v>
      </c>
      <c r="GX50">
        <f t="shared" si="42"/>
        <v>0</v>
      </c>
    </row>
    <row r="51" spans="1:206" ht="12.75">
      <c r="A51">
        <v>17</v>
      </c>
      <c r="B51">
        <v>1</v>
      </c>
      <c r="C51">
        <f>ROW(SmtRes!A159)</f>
        <v>159</v>
      </c>
      <c r="D51">
        <f>ROW(EtalonRes!A157)</f>
        <v>157</v>
      </c>
      <c r="E51" t="s">
        <v>152</v>
      </c>
      <c r="F51" t="s">
        <v>153</v>
      </c>
      <c r="G51" t="s">
        <v>154</v>
      </c>
      <c r="H51" t="s">
        <v>155</v>
      </c>
      <c r="I51">
        <f>ROUND(4/100,9)</f>
        <v>0.04</v>
      </c>
      <c r="J51">
        <v>0</v>
      </c>
      <c r="O51">
        <f t="shared" si="10"/>
        <v>1480.41</v>
      </c>
      <c r="P51">
        <f t="shared" si="11"/>
        <v>4.73</v>
      </c>
      <c r="Q51">
        <f t="shared" si="12"/>
        <v>131.23</v>
      </c>
      <c r="R51">
        <f t="shared" si="13"/>
        <v>0.19</v>
      </c>
      <c r="S51">
        <f t="shared" si="14"/>
        <v>1344.45</v>
      </c>
      <c r="T51">
        <f t="shared" si="15"/>
        <v>0</v>
      </c>
      <c r="U51">
        <f t="shared" si="16"/>
        <v>4.4597</v>
      </c>
      <c r="V51">
        <f t="shared" si="17"/>
        <v>0.0005</v>
      </c>
      <c r="W51">
        <f t="shared" si="18"/>
        <v>0</v>
      </c>
      <c r="X51">
        <f t="shared" si="19"/>
        <v>1089.16</v>
      </c>
      <c r="Y51">
        <f t="shared" si="20"/>
        <v>847.12</v>
      </c>
      <c r="AA51">
        <v>45926640</v>
      </c>
      <c r="AB51">
        <f t="shared" si="21"/>
        <v>1699.536</v>
      </c>
      <c r="AC51">
        <f t="shared" si="22"/>
        <v>38.36</v>
      </c>
      <c r="AD51">
        <f>ROUND(((((ET51*1.25))-((EU51*1.25)))+AE51),6)</f>
        <v>600.8875</v>
      </c>
      <c r="AE51">
        <f>ROUND(((EU51*1.25)),6)</f>
        <v>0.15</v>
      </c>
      <c r="AF51">
        <f>ROUND(((EV51*1.15)),6)</f>
        <v>1060.2885</v>
      </c>
      <c r="AG51">
        <f t="shared" si="23"/>
        <v>0</v>
      </c>
      <c r="AH51">
        <f>((EW51*1.15))</f>
        <v>111.49249999999999</v>
      </c>
      <c r="AI51">
        <f>((EX51*1.25))</f>
        <v>0.0125</v>
      </c>
      <c r="AJ51">
        <f t="shared" si="24"/>
        <v>0</v>
      </c>
      <c r="AK51">
        <v>1441.06</v>
      </c>
      <c r="AL51">
        <v>38.36</v>
      </c>
      <c r="AM51">
        <v>480.71</v>
      </c>
      <c r="AN51">
        <v>0.12</v>
      </c>
      <c r="AO51">
        <v>921.99</v>
      </c>
      <c r="AP51">
        <v>0</v>
      </c>
      <c r="AQ51">
        <v>96.95</v>
      </c>
      <c r="AR51">
        <v>0.01</v>
      </c>
      <c r="AS51">
        <v>0</v>
      </c>
      <c r="AT51">
        <v>81</v>
      </c>
      <c r="AU51">
        <v>63</v>
      </c>
      <c r="AV51">
        <v>1</v>
      </c>
      <c r="AW51">
        <v>1</v>
      </c>
      <c r="AZ51">
        <v>1</v>
      </c>
      <c r="BA51">
        <v>31.7</v>
      </c>
      <c r="BB51">
        <v>5.46</v>
      </c>
      <c r="BC51">
        <v>3.08</v>
      </c>
      <c r="BH51">
        <v>0</v>
      </c>
      <c r="BI51">
        <v>1</v>
      </c>
      <c r="BJ51" t="s">
        <v>156</v>
      </c>
      <c r="BM51">
        <v>16001</v>
      </c>
      <c r="BN51">
        <v>0</v>
      </c>
      <c r="BO51" t="s">
        <v>153</v>
      </c>
      <c r="BP51">
        <v>1</v>
      </c>
      <c r="BQ51">
        <v>2</v>
      </c>
      <c r="BR51">
        <v>0</v>
      </c>
      <c r="BS51">
        <v>31.7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128</v>
      </c>
      <c r="CA51">
        <v>83</v>
      </c>
      <c r="CF51">
        <v>0</v>
      </c>
      <c r="CG51">
        <v>0</v>
      </c>
      <c r="CM51">
        <v>0</v>
      </c>
      <c r="CN51" t="s">
        <v>711</v>
      </c>
      <c r="CO51">
        <v>0</v>
      </c>
      <c r="CP51">
        <f t="shared" si="25"/>
        <v>1480.41</v>
      </c>
      <c r="CQ51">
        <f t="shared" si="26"/>
        <v>118.1488</v>
      </c>
      <c r="CR51">
        <f t="shared" si="27"/>
        <v>3280.8457500000004</v>
      </c>
      <c r="CS51">
        <f t="shared" si="28"/>
        <v>4.755</v>
      </c>
      <c r="CT51">
        <f t="shared" si="29"/>
        <v>33611.14545</v>
      </c>
      <c r="CU51">
        <f t="shared" si="30"/>
        <v>0</v>
      </c>
      <c r="CV51">
        <f t="shared" si="31"/>
        <v>111.49249999999999</v>
      </c>
      <c r="CW51">
        <f t="shared" si="32"/>
        <v>0.0125</v>
      </c>
      <c r="CX51">
        <f t="shared" si="33"/>
        <v>0</v>
      </c>
      <c r="CY51">
        <f t="shared" si="34"/>
        <v>1089.1584</v>
      </c>
      <c r="CZ51">
        <f t="shared" si="35"/>
        <v>847.1232000000001</v>
      </c>
      <c r="DE51" t="s">
        <v>19</v>
      </c>
      <c r="DF51" t="s">
        <v>19</v>
      </c>
      <c r="DG51" t="s">
        <v>20</v>
      </c>
      <c r="DI51" t="s">
        <v>20</v>
      </c>
      <c r="DJ51" t="s">
        <v>19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155</v>
      </c>
      <c r="DW51" t="s">
        <v>157</v>
      </c>
      <c r="DX51">
        <v>1</v>
      </c>
      <c r="EE51">
        <v>41567161</v>
      </c>
      <c r="EF51">
        <v>2</v>
      </c>
      <c r="EG51" t="s">
        <v>21</v>
      </c>
      <c r="EH51">
        <v>0</v>
      </c>
      <c r="EJ51">
        <v>1</v>
      </c>
      <c r="EK51">
        <v>16001</v>
      </c>
      <c r="EL51" t="s">
        <v>158</v>
      </c>
      <c r="EM51" t="s">
        <v>159</v>
      </c>
      <c r="EO51" t="s">
        <v>24</v>
      </c>
      <c r="EQ51">
        <v>0</v>
      </c>
      <c r="ER51">
        <v>1441.06</v>
      </c>
      <c r="ES51">
        <v>38.36</v>
      </c>
      <c r="ET51">
        <v>480.71</v>
      </c>
      <c r="EU51">
        <v>0.12</v>
      </c>
      <c r="EV51">
        <v>921.99</v>
      </c>
      <c r="EW51">
        <v>96.95</v>
      </c>
      <c r="EX51">
        <v>0.01</v>
      </c>
      <c r="EY51">
        <v>0</v>
      </c>
      <c r="FQ51">
        <v>0</v>
      </c>
      <c r="FR51">
        <f t="shared" si="36"/>
        <v>0</v>
      </c>
      <c r="FS51">
        <v>0</v>
      </c>
      <c r="FT51" t="s">
        <v>25</v>
      </c>
      <c r="FU51" t="s">
        <v>26</v>
      </c>
      <c r="FX51">
        <v>80.64</v>
      </c>
      <c r="FY51">
        <v>63.495</v>
      </c>
      <c r="GD51">
        <v>0</v>
      </c>
      <c r="GF51">
        <v>1168922220</v>
      </c>
      <c r="GG51">
        <v>2</v>
      </c>
      <c r="GH51">
        <v>1</v>
      </c>
      <c r="GI51">
        <v>2</v>
      </c>
      <c r="GJ51">
        <v>0</v>
      </c>
      <c r="GK51">
        <f>ROUND(R51*(R12)/100,2)</f>
        <v>0</v>
      </c>
      <c r="GL51">
        <f t="shared" si="37"/>
        <v>0</v>
      </c>
      <c r="GM51">
        <f t="shared" si="38"/>
        <v>3416.69</v>
      </c>
      <c r="GN51">
        <f t="shared" si="39"/>
        <v>3416.69</v>
      </c>
      <c r="GO51">
        <f t="shared" si="40"/>
        <v>0</v>
      </c>
      <c r="GP51">
        <f t="shared" si="41"/>
        <v>0</v>
      </c>
      <c r="GT51">
        <v>0</v>
      </c>
      <c r="GU51">
        <v>1</v>
      </c>
      <c r="GV51">
        <v>0</v>
      </c>
      <c r="GW51">
        <v>0</v>
      </c>
      <c r="GX51">
        <f t="shared" si="42"/>
        <v>0</v>
      </c>
    </row>
    <row r="52" spans="1:206" ht="12.75">
      <c r="A52">
        <v>18</v>
      </c>
      <c r="B52">
        <v>1</v>
      </c>
      <c r="C52">
        <v>157</v>
      </c>
      <c r="E52" t="s">
        <v>160</v>
      </c>
      <c r="F52" t="s">
        <v>161</v>
      </c>
      <c r="G52" t="s">
        <v>162</v>
      </c>
      <c r="H52" t="s">
        <v>163</v>
      </c>
      <c r="I52">
        <f>I51*J52</f>
        <v>4</v>
      </c>
      <c r="J52">
        <v>100</v>
      </c>
      <c r="O52">
        <f t="shared" si="10"/>
        <v>249.83</v>
      </c>
      <c r="P52">
        <f t="shared" si="11"/>
        <v>249.83</v>
      </c>
      <c r="Q52">
        <f t="shared" si="12"/>
        <v>0</v>
      </c>
      <c r="R52">
        <f t="shared" si="13"/>
        <v>0</v>
      </c>
      <c r="S52">
        <f t="shared" si="14"/>
        <v>0</v>
      </c>
      <c r="T52">
        <f t="shared" si="15"/>
        <v>0</v>
      </c>
      <c r="U52">
        <f t="shared" si="16"/>
        <v>0</v>
      </c>
      <c r="V52">
        <f t="shared" si="17"/>
        <v>0</v>
      </c>
      <c r="W52">
        <f t="shared" si="18"/>
        <v>0</v>
      </c>
      <c r="X52">
        <f t="shared" si="19"/>
        <v>0</v>
      </c>
      <c r="Y52">
        <f t="shared" si="20"/>
        <v>0</v>
      </c>
      <c r="AA52">
        <v>45926640</v>
      </c>
      <c r="AB52">
        <f t="shared" si="21"/>
        <v>30.92</v>
      </c>
      <c r="AC52">
        <f t="shared" si="22"/>
        <v>30.92</v>
      </c>
      <c r="AD52">
        <f>ROUND((((ET52)-(EU52))+AE52),6)</f>
        <v>0</v>
      </c>
      <c r="AE52">
        <f>ROUND((EU52),6)</f>
        <v>0</v>
      </c>
      <c r="AF52">
        <f>ROUND((EV52),6)</f>
        <v>0</v>
      </c>
      <c r="AG52">
        <f t="shared" si="23"/>
        <v>0</v>
      </c>
      <c r="AH52">
        <f>(EW52)</f>
        <v>0</v>
      </c>
      <c r="AI52">
        <f>(EX52)</f>
        <v>0</v>
      </c>
      <c r="AJ52">
        <f t="shared" si="24"/>
        <v>0</v>
      </c>
      <c r="AK52">
        <v>30.92</v>
      </c>
      <c r="AL52">
        <v>30.92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81</v>
      </c>
      <c r="AU52">
        <v>63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2.02</v>
      </c>
      <c r="BH52">
        <v>3</v>
      </c>
      <c r="BI52">
        <v>1</v>
      </c>
      <c r="BJ52" t="s">
        <v>164</v>
      </c>
      <c r="BM52">
        <v>16001</v>
      </c>
      <c r="BN52">
        <v>0</v>
      </c>
      <c r="BO52" t="s">
        <v>161</v>
      </c>
      <c r="BP52">
        <v>1</v>
      </c>
      <c r="BQ52">
        <v>2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128</v>
      </c>
      <c r="CA52">
        <v>83</v>
      </c>
      <c r="CF52">
        <v>0</v>
      </c>
      <c r="CG52">
        <v>0</v>
      </c>
      <c r="CM52">
        <v>0</v>
      </c>
      <c r="CO52">
        <v>0</v>
      </c>
      <c r="CP52">
        <f t="shared" si="25"/>
        <v>249.83</v>
      </c>
      <c r="CQ52">
        <f t="shared" si="26"/>
        <v>62.458400000000005</v>
      </c>
      <c r="CR52">
        <f t="shared" si="27"/>
        <v>0</v>
      </c>
      <c r="CS52">
        <f t="shared" si="28"/>
        <v>0</v>
      </c>
      <c r="CT52">
        <f t="shared" si="29"/>
        <v>0</v>
      </c>
      <c r="CU52">
        <f t="shared" si="30"/>
        <v>0</v>
      </c>
      <c r="CV52">
        <f t="shared" si="31"/>
        <v>0</v>
      </c>
      <c r="CW52">
        <f t="shared" si="32"/>
        <v>0</v>
      </c>
      <c r="CX52">
        <f t="shared" si="33"/>
        <v>0</v>
      </c>
      <c r="CY52">
        <f t="shared" si="34"/>
        <v>0</v>
      </c>
      <c r="CZ52">
        <f t="shared" si="35"/>
        <v>0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163</v>
      </c>
      <c r="DW52" t="s">
        <v>85</v>
      </c>
      <c r="DX52">
        <v>1</v>
      </c>
      <c r="EE52">
        <v>41567161</v>
      </c>
      <c r="EF52">
        <v>2</v>
      </c>
      <c r="EG52" t="s">
        <v>21</v>
      </c>
      <c r="EH52">
        <v>0</v>
      </c>
      <c r="EJ52">
        <v>1</v>
      </c>
      <c r="EK52">
        <v>16001</v>
      </c>
      <c r="EL52" t="s">
        <v>158</v>
      </c>
      <c r="EM52" t="s">
        <v>159</v>
      </c>
      <c r="EQ52">
        <v>0</v>
      </c>
      <c r="ER52">
        <v>30.92</v>
      </c>
      <c r="ES52">
        <v>30.92</v>
      </c>
      <c r="ET52">
        <v>0</v>
      </c>
      <c r="EU52">
        <v>0</v>
      </c>
      <c r="EV52">
        <v>0</v>
      </c>
      <c r="EW52">
        <v>0</v>
      </c>
      <c r="EX52">
        <v>0</v>
      </c>
      <c r="FQ52">
        <v>0</v>
      </c>
      <c r="FR52">
        <f t="shared" si="36"/>
        <v>0</v>
      </c>
      <c r="FS52">
        <v>0</v>
      </c>
      <c r="FT52" t="s">
        <v>25</v>
      </c>
      <c r="FU52" t="s">
        <v>26</v>
      </c>
      <c r="FX52">
        <v>80.64</v>
      </c>
      <c r="FY52">
        <v>63.495</v>
      </c>
      <c r="GD52">
        <v>0</v>
      </c>
      <c r="GF52">
        <v>-1851080947</v>
      </c>
      <c r="GG52">
        <v>2</v>
      </c>
      <c r="GH52">
        <v>1</v>
      </c>
      <c r="GI52">
        <v>2</v>
      </c>
      <c r="GJ52">
        <v>0</v>
      </c>
      <c r="GK52">
        <f>ROUND(R52*(R12)/100,2)</f>
        <v>0</v>
      </c>
      <c r="GL52">
        <f t="shared" si="37"/>
        <v>0</v>
      </c>
      <c r="GM52">
        <f t="shared" si="38"/>
        <v>249.83</v>
      </c>
      <c r="GN52">
        <f t="shared" si="39"/>
        <v>249.83</v>
      </c>
      <c r="GO52">
        <f t="shared" si="40"/>
        <v>0</v>
      </c>
      <c r="GP52">
        <f t="shared" si="41"/>
        <v>0</v>
      </c>
      <c r="GT52">
        <v>0</v>
      </c>
      <c r="GU52">
        <v>1</v>
      </c>
      <c r="GV52">
        <v>0</v>
      </c>
      <c r="GW52">
        <v>0</v>
      </c>
      <c r="GX52">
        <f t="shared" si="42"/>
        <v>0</v>
      </c>
    </row>
    <row r="53" spans="1:206" ht="12.75">
      <c r="A53">
        <v>17</v>
      </c>
      <c r="B53">
        <v>1</v>
      </c>
      <c r="C53">
        <f>ROW(SmtRes!A172)</f>
        <v>172</v>
      </c>
      <c r="D53">
        <f>ROW(EtalonRes!A173)</f>
        <v>173</v>
      </c>
      <c r="E53" t="s">
        <v>165</v>
      </c>
      <c r="F53" t="s">
        <v>166</v>
      </c>
      <c r="G53" t="s">
        <v>167</v>
      </c>
      <c r="H53" t="s">
        <v>155</v>
      </c>
      <c r="I53">
        <f>ROUND(16/100,9)</f>
        <v>0.16</v>
      </c>
      <c r="J53">
        <v>0</v>
      </c>
      <c r="O53">
        <f t="shared" si="10"/>
        <v>4971.24</v>
      </c>
      <c r="P53">
        <f t="shared" si="11"/>
        <v>16.95</v>
      </c>
      <c r="Q53">
        <f t="shared" si="12"/>
        <v>436.26</v>
      </c>
      <c r="R53">
        <f t="shared" si="13"/>
        <v>0.76</v>
      </c>
      <c r="S53">
        <f t="shared" si="14"/>
        <v>4518.03</v>
      </c>
      <c r="T53">
        <f t="shared" si="15"/>
        <v>0</v>
      </c>
      <c r="U53">
        <f t="shared" si="16"/>
        <v>14.986799999999999</v>
      </c>
      <c r="V53">
        <f t="shared" si="17"/>
        <v>0.002</v>
      </c>
      <c r="W53">
        <f t="shared" si="18"/>
        <v>0</v>
      </c>
      <c r="X53">
        <f t="shared" si="19"/>
        <v>3660.22</v>
      </c>
      <c r="Y53">
        <f t="shared" si="20"/>
        <v>2846.84</v>
      </c>
      <c r="AA53">
        <v>45926640</v>
      </c>
      <c r="AB53">
        <f t="shared" si="21"/>
        <v>1406.476</v>
      </c>
      <c r="AC53">
        <f t="shared" si="22"/>
        <v>33.96</v>
      </c>
      <c r="AD53">
        <f>ROUND(((((ET53*1.25))-((EU53*1.25)))+AE53),6)</f>
        <v>481.7375</v>
      </c>
      <c r="AE53">
        <f>ROUND(((EU53*1.25)),6)</f>
        <v>0.15</v>
      </c>
      <c r="AF53">
        <f>ROUND(((EV53*1.15)),6)</f>
        <v>890.7785</v>
      </c>
      <c r="AG53">
        <f t="shared" si="23"/>
        <v>0</v>
      </c>
      <c r="AH53">
        <f>((EW53*1.15))</f>
        <v>93.66749999999999</v>
      </c>
      <c r="AI53">
        <f>((EX53*1.25))</f>
        <v>0.0125</v>
      </c>
      <c r="AJ53">
        <f t="shared" si="24"/>
        <v>0</v>
      </c>
      <c r="AK53">
        <v>1193.94</v>
      </c>
      <c r="AL53">
        <v>33.96</v>
      </c>
      <c r="AM53">
        <v>385.39</v>
      </c>
      <c r="AN53">
        <v>0.12</v>
      </c>
      <c r="AO53">
        <v>774.59</v>
      </c>
      <c r="AP53">
        <v>0</v>
      </c>
      <c r="AQ53">
        <v>81.45</v>
      </c>
      <c r="AR53">
        <v>0.01</v>
      </c>
      <c r="AS53">
        <v>0</v>
      </c>
      <c r="AT53">
        <v>81</v>
      </c>
      <c r="AU53">
        <v>63</v>
      </c>
      <c r="AV53">
        <v>1</v>
      </c>
      <c r="AW53">
        <v>1</v>
      </c>
      <c r="AZ53">
        <v>1</v>
      </c>
      <c r="BA53">
        <v>31.7</v>
      </c>
      <c r="BB53">
        <v>5.66</v>
      </c>
      <c r="BC53">
        <v>3.12</v>
      </c>
      <c r="BH53">
        <v>0</v>
      </c>
      <c r="BI53">
        <v>1</v>
      </c>
      <c r="BJ53" t="s">
        <v>168</v>
      </c>
      <c r="BM53">
        <v>16001</v>
      </c>
      <c r="BN53">
        <v>0</v>
      </c>
      <c r="BO53" t="s">
        <v>166</v>
      </c>
      <c r="BP53">
        <v>1</v>
      </c>
      <c r="BQ53">
        <v>2</v>
      </c>
      <c r="BR53">
        <v>0</v>
      </c>
      <c r="BS53">
        <v>31.7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128</v>
      </c>
      <c r="CA53">
        <v>83</v>
      </c>
      <c r="CF53">
        <v>0</v>
      </c>
      <c r="CG53">
        <v>0</v>
      </c>
      <c r="CM53">
        <v>0</v>
      </c>
      <c r="CN53" t="s">
        <v>711</v>
      </c>
      <c r="CO53">
        <v>0</v>
      </c>
      <c r="CP53">
        <f t="shared" si="25"/>
        <v>4971.24</v>
      </c>
      <c r="CQ53">
        <f t="shared" si="26"/>
        <v>105.9552</v>
      </c>
      <c r="CR53">
        <f t="shared" si="27"/>
        <v>2726.63425</v>
      </c>
      <c r="CS53">
        <f t="shared" si="28"/>
        <v>4.755</v>
      </c>
      <c r="CT53">
        <f t="shared" si="29"/>
        <v>28237.67845</v>
      </c>
      <c r="CU53">
        <f t="shared" si="30"/>
        <v>0</v>
      </c>
      <c r="CV53">
        <f t="shared" si="31"/>
        <v>93.66749999999999</v>
      </c>
      <c r="CW53">
        <f t="shared" si="32"/>
        <v>0.0125</v>
      </c>
      <c r="CX53">
        <f t="shared" si="33"/>
        <v>0</v>
      </c>
      <c r="CY53">
        <f t="shared" si="34"/>
        <v>3660.2199</v>
      </c>
      <c r="CZ53">
        <f t="shared" si="35"/>
        <v>2846.8377</v>
      </c>
      <c r="DE53" t="s">
        <v>19</v>
      </c>
      <c r="DF53" t="s">
        <v>19</v>
      </c>
      <c r="DG53" t="s">
        <v>20</v>
      </c>
      <c r="DI53" t="s">
        <v>20</v>
      </c>
      <c r="DJ53" t="s">
        <v>19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155</v>
      </c>
      <c r="DW53" t="s">
        <v>157</v>
      </c>
      <c r="DX53">
        <v>1</v>
      </c>
      <c r="EE53">
        <v>41567161</v>
      </c>
      <c r="EF53">
        <v>2</v>
      </c>
      <c r="EG53" t="s">
        <v>21</v>
      </c>
      <c r="EH53">
        <v>0</v>
      </c>
      <c r="EJ53">
        <v>1</v>
      </c>
      <c r="EK53">
        <v>16001</v>
      </c>
      <c r="EL53" t="s">
        <v>158</v>
      </c>
      <c r="EM53" t="s">
        <v>159</v>
      </c>
      <c r="EO53" t="s">
        <v>24</v>
      </c>
      <c r="EQ53">
        <v>0</v>
      </c>
      <c r="ER53">
        <v>1193.94</v>
      </c>
      <c r="ES53">
        <v>33.96</v>
      </c>
      <c r="ET53">
        <v>385.39</v>
      </c>
      <c r="EU53">
        <v>0.12</v>
      </c>
      <c r="EV53">
        <v>774.59</v>
      </c>
      <c r="EW53">
        <v>81.45</v>
      </c>
      <c r="EX53">
        <v>0.01</v>
      </c>
      <c r="EY53">
        <v>0</v>
      </c>
      <c r="FQ53">
        <v>0</v>
      </c>
      <c r="FR53">
        <f t="shared" si="36"/>
        <v>0</v>
      </c>
      <c r="FS53">
        <v>0</v>
      </c>
      <c r="FT53" t="s">
        <v>25</v>
      </c>
      <c r="FU53" t="s">
        <v>26</v>
      </c>
      <c r="FX53">
        <v>80.64</v>
      </c>
      <c r="FY53">
        <v>63.495</v>
      </c>
      <c r="GD53">
        <v>0</v>
      </c>
      <c r="GF53">
        <v>754984351</v>
      </c>
      <c r="GG53">
        <v>2</v>
      </c>
      <c r="GH53">
        <v>1</v>
      </c>
      <c r="GI53">
        <v>2</v>
      </c>
      <c r="GJ53">
        <v>0</v>
      </c>
      <c r="GK53">
        <f>ROUND(R53*(R12)/100,2)</f>
        <v>0</v>
      </c>
      <c r="GL53">
        <f t="shared" si="37"/>
        <v>0</v>
      </c>
      <c r="GM53">
        <f t="shared" si="38"/>
        <v>11478.3</v>
      </c>
      <c r="GN53">
        <f t="shared" si="39"/>
        <v>11478.3</v>
      </c>
      <c r="GO53">
        <f t="shared" si="40"/>
        <v>0</v>
      </c>
      <c r="GP53">
        <f t="shared" si="41"/>
        <v>0</v>
      </c>
      <c r="GT53">
        <v>0</v>
      </c>
      <c r="GU53">
        <v>1</v>
      </c>
      <c r="GV53">
        <v>0</v>
      </c>
      <c r="GW53">
        <v>0</v>
      </c>
      <c r="GX53">
        <f t="shared" si="42"/>
        <v>0</v>
      </c>
    </row>
    <row r="54" spans="1:206" ht="12.75">
      <c r="A54">
        <v>18</v>
      </c>
      <c r="B54">
        <v>1</v>
      </c>
      <c r="C54">
        <v>170</v>
      </c>
      <c r="E54" t="s">
        <v>169</v>
      </c>
      <c r="F54" t="s">
        <v>170</v>
      </c>
      <c r="G54" t="s">
        <v>171</v>
      </c>
      <c r="H54" t="s">
        <v>163</v>
      </c>
      <c r="I54">
        <f>I53*J54</f>
        <v>16.128</v>
      </c>
      <c r="J54">
        <v>100.8</v>
      </c>
      <c r="O54">
        <f t="shared" si="10"/>
        <v>1448.04</v>
      </c>
      <c r="P54">
        <f t="shared" si="11"/>
        <v>1448.04</v>
      </c>
      <c r="Q54">
        <f t="shared" si="12"/>
        <v>0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</v>
      </c>
      <c r="W54">
        <f t="shared" si="18"/>
        <v>0</v>
      </c>
      <c r="X54">
        <f t="shared" si="19"/>
        <v>0</v>
      </c>
      <c r="Y54">
        <f t="shared" si="20"/>
        <v>0</v>
      </c>
      <c r="AA54">
        <v>45926640</v>
      </c>
      <c r="AB54">
        <f t="shared" si="21"/>
        <v>41.76</v>
      </c>
      <c r="AC54">
        <f t="shared" si="22"/>
        <v>41.76</v>
      </c>
      <c r="AD54">
        <f>ROUND((((ET54)-(EU54))+AE54),6)</f>
        <v>0</v>
      </c>
      <c r="AE54">
        <f>ROUND((EU54),6)</f>
        <v>0</v>
      </c>
      <c r="AF54">
        <f>ROUND((EV54),6)</f>
        <v>0</v>
      </c>
      <c r="AG54">
        <f t="shared" si="23"/>
        <v>0</v>
      </c>
      <c r="AH54">
        <f>(EW54)</f>
        <v>0</v>
      </c>
      <c r="AI54">
        <f>(EX54)</f>
        <v>0</v>
      </c>
      <c r="AJ54">
        <f t="shared" si="24"/>
        <v>0</v>
      </c>
      <c r="AK54">
        <v>41.76</v>
      </c>
      <c r="AL54">
        <v>41.76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81</v>
      </c>
      <c r="AU54">
        <v>63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2.15</v>
      </c>
      <c r="BH54">
        <v>3</v>
      </c>
      <c r="BI54">
        <v>1</v>
      </c>
      <c r="BJ54" t="s">
        <v>172</v>
      </c>
      <c r="BM54">
        <v>16001</v>
      </c>
      <c r="BN54">
        <v>0</v>
      </c>
      <c r="BO54" t="s">
        <v>170</v>
      </c>
      <c r="BP54">
        <v>1</v>
      </c>
      <c r="BQ54">
        <v>2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128</v>
      </c>
      <c r="CA54">
        <v>83</v>
      </c>
      <c r="CF54">
        <v>0</v>
      </c>
      <c r="CG54">
        <v>0</v>
      </c>
      <c r="CM54">
        <v>0</v>
      </c>
      <c r="CO54">
        <v>0</v>
      </c>
      <c r="CP54">
        <f t="shared" si="25"/>
        <v>1448.04</v>
      </c>
      <c r="CQ54">
        <f t="shared" si="26"/>
        <v>89.78399999999999</v>
      </c>
      <c r="CR54">
        <f t="shared" si="27"/>
        <v>0</v>
      </c>
      <c r="CS54">
        <f t="shared" si="28"/>
        <v>0</v>
      </c>
      <c r="CT54">
        <f t="shared" si="29"/>
        <v>0</v>
      </c>
      <c r="CU54">
        <f t="shared" si="30"/>
        <v>0</v>
      </c>
      <c r="CV54">
        <f t="shared" si="31"/>
        <v>0</v>
      </c>
      <c r="CW54">
        <f t="shared" si="32"/>
        <v>0</v>
      </c>
      <c r="CX54">
        <f t="shared" si="33"/>
        <v>0</v>
      </c>
      <c r="CY54">
        <f t="shared" si="34"/>
        <v>0</v>
      </c>
      <c r="CZ54">
        <f t="shared" si="35"/>
        <v>0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163</v>
      </c>
      <c r="DW54" t="s">
        <v>85</v>
      </c>
      <c r="DX54">
        <v>1</v>
      </c>
      <c r="EE54">
        <v>41567161</v>
      </c>
      <c r="EF54">
        <v>2</v>
      </c>
      <c r="EG54" t="s">
        <v>21</v>
      </c>
      <c r="EH54">
        <v>0</v>
      </c>
      <c r="EJ54">
        <v>1</v>
      </c>
      <c r="EK54">
        <v>16001</v>
      </c>
      <c r="EL54" t="s">
        <v>158</v>
      </c>
      <c r="EM54" t="s">
        <v>159</v>
      </c>
      <c r="EQ54">
        <v>0</v>
      </c>
      <c r="ER54">
        <v>41.76</v>
      </c>
      <c r="ES54">
        <v>41.76</v>
      </c>
      <c r="ET54">
        <v>0</v>
      </c>
      <c r="EU54">
        <v>0</v>
      </c>
      <c r="EV54">
        <v>0</v>
      </c>
      <c r="EW54">
        <v>0</v>
      </c>
      <c r="EX54">
        <v>0</v>
      </c>
      <c r="FQ54">
        <v>0</v>
      </c>
      <c r="FR54">
        <f t="shared" si="36"/>
        <v>0</v>
      </c>
      <c r="FS54">
        <v>0</v>
      </c>
      <c r="FT54" t="s">
        <v>25</v>
      </c>
      <c r="FU54" t="s">
        <v>26</v>
      </c>
      <c r="FX54">
        <v>80.64</v>
      </c>
      <c r="FY54">
        <v>63.495</v>
      </c>
      <c r="GD54">
        <v>0</v>
      </c>
      <c r="GF54">
        <v>-1233877324</v>
      </c>
      <c r="GG54">
        <v>2</v>
      </c>
      <c r="GH54">
        <v>1</v>
      </c>
      <c r="GI54">
        <v>2</v>
      </c>
      <c r="GJ54">
        <v>0</v>
      </c>
      <c r="GK54">
        <f>ROUND(R54*(R12)/100,2)</f>
        <v>0</v>
      </c>
      <c r="GL54">
        <f t="shared" si="37"/>
        <v>0</v>
      </c>
      <c r="GM54">
        <f t="shared" si="38"/>
        <v>1448.04</v>
      </c>
      <c r="GN54">
        <f t="shared" si="39"/>
        <v>1448.04</v>
      </c>
      <c r="GO54">
        <f t="shared" si="40"/>
        <v>0</v>
      </c>
      <c r="GP54">
        <f t="shared" si="41"/>
        <v>0</v>
      </c>
      <c r="GT54">
        <v>0</v>
      </c>
      <c r="GU54">
        <v>1</v>
      </c>
      <c r="GV54">
        <v>0</v>
      </c>
      <c r="GW54">
        <v>0</v>
      </c>
      <c r="GX54">
        <f t="shared" si="42"/>
        <v>0</v>
      </c>
    </row>
    <row r="55" spans="1:206" ht="12.75">
      <c r="A55">
        <v>17</v>
      </c>
      <c r="B55">
        <v>1</v>
      </c>
      <c r="C55">
        <f>ROW(SmtRes!A181)</f>
        <v>181</v>
      </c>
      <c r="D55">
        <f>ROW(EtalonRes!A184)</f>
        <v>184</v>
      </c>
      <c r="E55" t="s">
        <v>173</v>
      </c>
      <c r="F55" t="s">
        <v>174</v>
      </c>
      <c r="G55" t="s">
        <v>175</v>
      </c>
      <c r="H55" t="s">
        <v>176</v>
      </c>
      <c r="I55">
        <f>ROUND(2/100,9)</f>
        <v>0.02</v>
      </c>
      <c r="J55">
        <v>0</v>
      </c>
      <c r="O55">
        <f t="shared" si="10"/>
        <v>831.82</v>
      </c>
      <c r="P55">
        <f t="shared" si="11"/>
        <v>366.48</v>
      </c>
      <c r="Q55">
        <f t="shared" si="12"/>
        <v>0.71</v>
      </c>
      <c r="R55">
        <f t="shared" si="13"/>
        <v>0.21</v>
      </c>
      <c r="S55">
        <f t="shared" si="14"/>
        <v>464.63</v>
      </c>
      <c r="T55">
        <f t="shared" si="15"/>
        <v>0</v>
      </c>
      <c r="U55">
        <f t="shared" si="16"/>
        <v>1.47752</v>
      </c>
      <c r="V55">
        <f t="shared" si="17"/>
        <v>0.0005</v>
      </c>
      <c r="W55">
        <f t="shared" si="18"/>
        <v>0</v>
      </c>
      <c r="X55">
        <f t="shared" si="19"/>
        <v>376.52</v>
      </c>
      <c r="Y55">
        <f t="shared" si="20"/>
        <v>292.85</v>
      </c>
      <c r="AA55">
        <v>45926640</v>
      </c>
      <c r="AB55">
        <f t="shared" si="21"/>
        <v>4719.914</v>
      </c>
      <c r="AC55">
        <f t="shared" si="22"/>
        <v>3983.49</v>
      </c>
      <c r="AD55">
        <f>ROUND(((((ET55*1.25))-((EU55*1.25)))+AE55),6)</f>
        <v>3.575</v>
      </c>
      <c r="AE55">
        <f>ROUND(((EU55*1.25)),6)</f>
        <v>0.3375</v>
      </c>
      <c r="AF55">
        <f>ROUND(((EV55*1.15)),6)</f>
        <v>732.849</v>
      </c>
      <c r="AG55">
        <f t="shared" si="23"/>
        <v>0</v>
      </c>
      <c r="AH55">
        <f>((EW55*1.15))</f>
        <v>73.87599999999999</v>
      </c>
      <c r="AI55">
        <f>((EX55*1.25))</f>
        <v>0.025</v>
      </c>
      <c r="AJ55">
        <f t="shared" si="24"/>
        <v>0</v>
      </c>
      <c r="AK55">
        <v>4623.61</v>
      </c>
      <c r="AL55">
        <v>3983.49</v>
      </c>
      <c r="AM55">
        <v>2.86</v>
      </c>
      <c r="AN55">
        <v>0.27</v>
      </c>
      <c r="AO55">
        <v>637.26</v>
      </c>
      <c r="AP55">
        <v>0</v>
      </c>
      <c r="AQ55">
        <v>64.24</v>
      </c>
      <c r="AR55">
        <v>0.02</v>
      </c>
      <c r="AS55">
        <v>0</v>
      </c>
      <c r="AT55">
        <v>81</v>
      </c>
      <c r="AU55">
        <v>63</v>
      </c>
      <c r="AV55">
        <v>1</v>
      </c>
      <c r="AW55">
        <v>1</v>
      </c>
      <c r="AZ55">
        <v>1</v>
      </c>
      <c r="BA55">
        <v>31.7</v>
      </c>
      <c r="BB55">
        <v>9.98</v>
      </c>
      <c r="BC55">
        <v>4.6</v>
      </c>
      <c r="BH55">
        <v>0</v>
      </c>
      <c r="BI55">
        <v>1</v>
      </c>
      <c r="BJ55" t="s">
        <v>177</v>
      </c>
      <c r="BM55">
        <v>16001</v>
      </c>
      <c r="BN55">
        <v>0</v>
      </c>
      <c r="BO55" t="s">
        <v>174</v>
      </c>
      <c r="BP55">
        <v>1</v>
      </c>
      <c r="BQ55">
        <v>2</v>
      </c>
      <c r="BR55">
        <v>0</v>
      </c>
      <c r="BS55">
        <v>31.7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128</v>
      </c>
      <c r="CA55">
        <v>83</v>
      </c>
      <c r="CF55">
        <v>0</v>
      </c>
      <c r="CG55">
        <v>0</v>
      </c>
      <c r="CM55">
        <v>0</v>
      </c>
      <c r="CN55" t="s">
        <v>711</v>
      </c>
      <c r="CO55">
        <v>0</v>
      </c>
      <c r="CP55">
        <f t="shared" si="25"/>
        <v>831.8199999999999</v>
      </c>
      <c r="CQ55">
        <f t="shared" si="26"/>
        <v>18324.053999999996</v>
      </c>
      <c r="CR55">
        <f t="shared" si="27"/>
        <v>35.67850000000001</v>
      </c>
      <c r="CS55">
        <f t="shared" si="28"/>
        <v>10.69875</v>
      </c>
      <c r="CT55">
        <f t="shared" si="29"/>
        <v>23231.3133</v>
      </c>
      <c r="CU55">
        <f t="shared" si="30"/>
        <v>0</v>
      </c>
      <c r="CV55">
        <f t="shared" si="31"/>
        <v>73.87599999999999</v>
      </c>
      <c r="CW55">
        <f t="shared" si="32"/>
        <v>0.025</v>
      </c>
      <c r="CX55">
        <f t="shared" si="33"/>
        <v>0</v>
      </c>
      <c r="CY55">
        <f t="shared" si="34"/>
        <v>376.5204</v>
      </c>
      <c r="CZ55">
        <f t="shared" si="35"/>
        <v>292.8492</v>
      </c>
      <c r="DE55" t="s">
        <v>19</v>
      </c>
      <c r="DF55" t="s">
        <v>19</v>
      </c>
      <c r="DG55" t="s">
        <v>20</v>
      </c>
      <c r="DI55" t="s">
        <v>20</v>
      </c>
      <c r="DJ55" t="s">
        <v>19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176</v>
      </c>
      <c r="DW55" t="s">
        <v>176</v>
      </c>
      <c r="DX55">
        <v>1</v>
      </c>
      <c r="EE55">
        <v>41567161</v>
      </c>
      <c r="EF55">
        <v>2</v>
      </c>
      <c r="EG55" t="s">
        <v>21</v>
      </c>
      <c r="EH55">
        <v>0</v>
      </c>
      <c r="EJ55">
        <v>1</v>
      </c>
      <c r="EK55">
        <v>16001</v>
      </c>
      <c r="EL55" t="s">
        <v>158</v>
      </c>
      <c r="EM55" t="s">
        <v>159</v>
      </c>
      <c r="EO55" t="s">
        <v>24</v>
      </c>
      <c r="EQ55">
        <v>0</v>
      </c>
      <c r="ER55">
        <v>4623.61</v>
      </c>
      <c r="ES55">
        <v>3983.49</v>
      </c>
      <c r="ET55">
        <v>2.86</v>
      </c>
      <c r="EU55">
        <v>0.27</v>
      </c>
      <c r="EV55">
        <v>637.26</v>
      </c>
      <c r="EW55">
        <v>64.24</v>
      </c>
      <c r="EX55">
        <v>0.02</v>
      </c>
      <c r="EY55">
        <v>0</v>
      </c>
      <c r="FQ55">
        <v>0</v>
      </c>
      <c r="FR55">
        <f t="shared" si="36"/>
        <v>0</v>
      </c>
      <c r="FS55">
        <v>0</v>
      </c>
      <c r="FT55" t="s">
        <v>25</v>
      </c>
      <c r="FU55" t="s">
        <v>26</v>
      </c>
      <c r="FX55">
        <v>80.64</v>
      </c>
      <c r="FY55">
        <v>63.495</v>
      </c>
      <c r="GD55">
        <v>0</v>
      </c>
      <c r="GF55">
        <v>1609538754</v>
      </c>
      <c r="GG55">
        <v>2</v>
      </c>
      <c r="GH55">
        <v>1</v>
      </c>
      <c r="GI55">
        <v>2</v>
      </c>
      <c r="GJ55">
        <v>0</v>
      </c>
      <c r="GK55">
        <f>ROUND(R55*(R12)/100,2)</f>
        <v>0</v>
      </c>
      <c r="GL55">
        <f t="shared" si="37"/>
        <v>0</v>
      </c>
      <c r="GM55">
        <f t="shared" si="38"/>
        <v>1501.19</v>
      </c>
      <c r="GN55">
        <f t="shared" si="39"/>
        <v>1501.19</v>
      </c>
      <c r="GO55">
        <f t="shared" si="40"/>
        <v>0</v>
      </c>
      <c r="GP55">
        <f t="shared" si="41"/>
        <v>0</v>
      </c>
      <c r="GT55">
        <v>0</v>
      </c>
      <c r="GU55">
        <v>1</v>
      </c>
      <c r="GV55">
        <v>0</v>
      </c>
      <c r="GW55">
        <v>0</v>
      </c>
      <c r="GX55">
        <f t="shared" si="42"/>
        <v>0</v>
      </c>
    </row>
    <row r="56" spans="1:206" ht="12.75">
      <c r="A56">
        <v>17</v>
      </c>
      <c r="B56">
        <v>1</v>
      </c>
      <c r="C56">
        <f>ROW(SmtRes!A189)</f>
        <v>189</v>
      </c>
      <c r="D56">
        <f>ROW(EtalonRes!A192)</f>
        <v>192</v>
      </c>
      <c r="E56" t="s">
        <v>178</v>
      </c>
      <c r="F56" t="s">
        <v>179</v>
      </c>
      <c r="G56" t="s">
        <v>180</v>
      </c>
      <c r="H56" t="s">
        <v>181</v>
      </c>
      <c r="I56">
        <v>7</v>
      </c>
      <c r="J56">
        <v>0</v>
      </c>
      <c r="O56">
        <f t="shared" si="10"/>
        <v>5962.98</v>
      </c>
      <c r="P56">
        <f t="shared" si="11"/>
        <v>2297.12</v>
      </c>
      <c r="Q56">
        <f t="shared" si="12"/>
        <v>264.24</v>
      </c>
      <c r="R56">
        <f t="shared" si="13"/>
        <v>0</v>
      </c>
      <c r="S56">
        <f t="shared" si="14"/>
        <v>3401.62</v>
      </c>
      <c r="T56">
        <f t="shared" si="15"/>
        <v>0</v>
      </c>
      <c r="U56">
        <f t="shared" si="16"/>
        <v>11.833499999999999</v>
      </c>
      <c r="V56">
        <f t="shared" si="17"/>
        <v>0</v>
      </c>
      <c r="W56">
        <f t="shared" si="18"/>
        <v>0</v>
      </c>
      <c r="X56">
        <f t="shared" si="19"/>
        <v>2755.31</v>
      </c>
      <c r="Y56">
        <f t="shared" si="20"/>
        <v>2143.02</v>
      </c>
      <c r="AA56">
        <v>45926640</v>
      </c>
      <c r="AB56">
        <f t="shared" si="21"/>
        <v>78.777</v>
      </c>
      <c r="AC56">
        <f t="shared" si="22"/>
        <v>58.81</v>
      </c>
      <c r="AD56">
        <f>ROUND(((((ET56*1.25))-((EU56*1.25)))+AE56),6)</f>
        <v>4.6375</v>
      </c>
      <c r="AE56">
        <f>ROUND(((EU56*1.25)),6)</f>
        <v>0</v>
      </c>
      <c r="AF56">
        <f>ROUND(((EV56*1.15)),6)</f>
        <v>15.3295</v>
      </c>
      <c r="AG56">
        <f t="shared" si="23"/>
        <v>0</v>
      </c>
      <c r="AH56">
        <f>((EW56*1.15))</f>
        <v>1.6905</v>
      </c>
      <c r="AI56">
        <f>((EX56*1.25))</f>
        <v>0</v>
      </c>
      <c r="AJ56">
        <f t="shared" si="24"/>
        <v>0</v>
      </c>
      <c r="AK56">
        <v>75.85</v>
      </c>
      <c r="AL56">
        <v>58.81</v>
      </c>
      <c r="AM56">
        <v>3.71</v>
      </c>
      <c r="AN56">
        <v>0</v>
      </c>
      <c r="AO56">
        <v>13.33</v>
      </c>
      <c r="AP56">
        <v>0</v>
      </c>
      <c r="AQ56">
        <v>1.47</v>
      </c>
      <c r="AR56">
        <v>0</v>
      </c>
      <c r="AS56">
        <v>0</v>
      </c>
      <c r="AT56">
        <v>81</v>
      </c>
      <c r="AU56">
        <v>63</v>
      </c>
      <c r="AV56">
        <v>1</v>
      </c>
      <c r="AW56">
        <v>1</v>
      </c>
      <c r="AZ56">
        <v>1</v>
      </c>
      <c r="BA56">
        <v>31.7</v>
      </c>
      <c r="BB56">
        <v>8.14</v>
      </c>
      <c r="BC56">
        <v>5.58</v>
      </c>
      <c r="BH56">
        <v>0</v>
      </c>
      <c r="BI56">
        <v>1</v>
      </c>
      <c r="BJ56" t="s">
        <v>182</v>
      </c>
      <c r="BM56">
        <v>16001</v>
      </c>
      <c r="BN56">
        <v>0</v>
      </c>
      <c r="BO56" t="s">
        <v>179</v>
      </c>
      <c r="BP56">
        <v>1</v>
      </c>
      <c r="BQ56">
        <v>2</v>
      </c>
      <c r="BR56">
        <v>0</v>
      </c>
      <c r="BS56">
        <v>31.7</v>
      </c>
      <c r="BT56">
        <v>1</v>
      </c>
      <c r="BU56">
        <v>1</v>
      </c>
      <c r="BV56">
        <v>1</v>
      </c>
      <c r="BW56">
        <v>1</v>
      </c>
      <c r="BX56">
        <v>1</v>
      </c>
      <c r="BZ56">
        <v>128</v>
      </c>
      <c r="CA56">
        <v>83</v>
      </c>
      <c r="CF56">
        <v>0</v>
      </c>
      <c r="CG56">
        <v>0</v>
      </c>
      <c r="CM56">
        <v>0</v>
      </c>
      <c r="CN56" t="s">
        <v>711</v>
      </c>
      <c r="CO56">
        <v>0</v>
      </c>
      <c r="CP56">
        <f t="shared" si="25"/>
        <v>5962.98</v>
      </c>
      <c r="CQ56">
        <f t="shared" si="26"/>
        <v>328.1598</v>
      </c>
      <c r="CR56">
        <f t="shared" si="27"/>
        <v>37.74925</v>
      </c>
      <c r="CS56">
        <f t="shared" si="28"/>
        <v>0</v>
      </c>
      <c r="CT56">
        <f t="shared" si="29"/>
        <v>485.94514999999996</v>
      </c>
      <c r="CU56">
        <f t="shared" si="30"/>
        <v>0</v>
      </c>
      <c r="CV56">
        <f t="shared" si="31"/>
        <v>1.6905</v>
      </c>
      <c r="CW56">
        <f t="shared" si="32"/>
        <v>0</v>
      </c>
      <c r="CX56">
        <f t="shared" si="33"/>
        <v>0</v>
      </c>
      <c r="CY56">
        <f t="shared" si="34"/>
        <v>2755.3122</v>
      </c>
      <c r="CZ56">
        <f t="shared" si="35"/>
        <v>2143.0206</v>
      </c>
      <c r="DE56" t="s">
        <v>19</v>
      </c>
      <c r="DF56" t="s">
        <v>19</v>
      </c>
      <c r="DG56" t="s">
        <v>20</v>
      </c>
      <c r="DI56" t="s">
        <v>20</v>
      </c>
      <c r="DJ56" t="s">
        <v>19</v>
      </c>
      <c r="DN56">
        <v>0</v>
      </c>
      <c r="DO56">
        <v>0</v>
      </c>
      <c r="DP56">
        <v>1</v>
      </c>
      <c r="DQ56">
        <v>1</v>
      </c>
      <c r="DU56">
        <v>1013</v>
      </c>
      <c r="DV56" t="s">
        <v>181</v>
      </c>
      <c r="DW56" t="s">
        <v>181</v>
      </c>
      <c r="DX56">
        <v>1</v>
      </c>
      <c r="EE56">
        <v>41567161</v>
      </c>
      <c r="EF56">
        <v>2</v>
      </c>
      <c r="EG56" t="s">
        <v>21</v>
      </c>
      <c r="EH56">
        <v>0</v>
      </c>
      <c r="EJ56">
        <v>1</v>
      </c>
      <c r="EK56">
        <v>16001</v>
      </c>
      <c r="EL56" t="s">
        <v>158</v>
      </c>
      <c r="EM56" t="s">
        <v>159</v>
      </c>
      <c r="EO56" t="s">
        <v>24</v>
      </c>
      <c r="EQ56">
        <v>0</v>
      </c>
      <c r="ER56">
        <v>75.85</v>
      </c>
      <c r="ES56">
        <v>58.81</v>
      </c>
      <c r="ET56">
        <v>3.71</v>
      </c>
      <c r="EU56">
        <v>0</v>
      </c>
      <c r="EV56">
        <v>13.33</v>
      </c>
      <c r="EW56">
        <v>1.47</v>
      </c>
      <c r="EX56">
        <v>0</v>
      </c>
      <c r="EY56">
        <v>0</v>
      </c>
      <c r="FQ56">
        <v>0</v>
      </c>
      <c r="FR56">
        <f t="shared" si="36"/>
        <v>0</v>
      </c>
      <c r="FS56">
        <v>0</v>
      </c>
      <c r="FT56" t="s">
        <v>25</v>
      </c>
      <c r="FU56" t="s">
        <v>26</v>
      </c>
      <c r="FX56">
        <v>80.64</v>
      </c>
      <c r="FY56">
        <v>63.495</v>
      </c>
      <c r="GD56">
        <v>0</v>
      </c>
      <c r="GF56">
        <v>-1495752585</v>
      </c>
      <c r="GG56">
        <v>2</v>
      </c>
      <c r="GH56">
        <v>1</v>
      </c>
      <c r="GI56">
        <v>2</v>
      </c>
      <c r="GJ56">
        <v>0</v>
      </c>
      <c r="GK56">
        <f>ROUND(R56*(R12)/100,2)</f>
        <v>0</v>
      </c>
      <c r="GL56">
        <f t="shared" si="37"/>
        <v>0</v>
      </c>
      <c r="GM56">
        <f t="shared" si="38"/>
        <v>10861.31</v>
      </c>
      <c r="GN56">
        <f t="shared" si="39"/>
        <v>10861.31</v>
      </c>
      <c r="GO56">
        <f t="shared" si="40"/>
        <v>0</v>
      </c>
      <c r="GP56">
        <f t="shared" si="41"/>
        <v>0</v>
      </c>
      <c r="GT56">
        <v>0</v>
      </c>
      <c r="GU56">
        <v>1</v>
      </c>
      <c r="GV56">
        <v>0</v>
      </c>
      <c r="GW56">
        <v>0</v>
      </c>
      <c r="GX56">
        <f t="shared" si="42"/>
        <v>0</v>
      </c>
    </row>
    <row r="57" spans="1:206" ht="12.75">
      <c r="A57">
        <v>18</v>
      </c>
      <c r="B57">
        <v>1</v>
      </c>
      <c r="C57">
        <v>188</v>
      </c>
      <c r="E57" t="s">
        <v>183</v>
      </c>
      <c r="F57" t="s">
        <v>184</v>
      </c>
      <c r="G57" t="s">
        <v>185</v>
      </c>
      <c r="H57" t="s">
        <v>133</v>
      </c>
      <c r="I57">
        <f>I56*J57</f>
        <v>-14</v>
      </c>
      <c r="J57">
        <v>-2</v>
      </c>
      <c r="O57">
        <f t="shared" si="10"/>
        <v>-1491.17</v>
      </c>
      <c r="P57">
        <f t="shared" si="11"/>
        <v>-1491.17</v>
      </c>
      <c r="Q57">
        <f t="shared" si="12"/>
        <v>0</v>
      </c>
      <c r="R57">
        <f t="shared" si="13"/>
        <v>0</v>
      </c>
      <c r="S57">
        <f t="shared" si="14"/>
        <v>0</v>
      </c>
      <c r="T57">
        <f t="shared" si="15"/>
        <v>0</v>
      </c>
      <c r="U57">
        <f t="shared" si="16"/>
        <v>0</v>
      </c>
      <c r="V57">
        <f t="shared" si="17"/>
        <v>0</v>
      </c>
      <c r="W57">
        <f t="shared" si="18"/>
        <v>-0.42</v>
      </c>
      <c r="X57">
        <f t="shared" si="19"/>
        <v>0</v>
      </c>
      <c r="Y57">
        <f t="shared" si="20"/>
        <v>0</v>
      </c>
      <c r="AA57">
        <v>45926640</v>
      </c>
      <c r="AB57">
        <f t="shared" si="21"/>
        <v>16.8</v>
      </c>
      <c r="AC57">
        <f t="shared" si="22"/>
        <v>16.8</v>
      </c>
      <c r="AD57">
        <f>ROUND((((ET57)-(EU57))+AE57),6)</f>
        <v>0</v>
      </c>
      <c r="AE57">
        <f>ROUND((EU57),6)</f>
        <v>0</v>
      </c>
      <c r="AF57">
        <f>ROUND((EV57),6)</f>
        <v>0</v>
      </c>
      <c r="AG57">
        <f t="shared" si="23"/>
        <v>0</v>
      </c>
      <c r="AH57">
        <f>(EW57)</f>
        <v>0</v>
      </c>
      <c r="AI57">
        <f>(EX57)</f>
        <v>0</v>
      </c>
      <c r="AJ57">
        <f t="shared" si="24"/>
        <v>0.03</v>
      </c>
      <c r="AK57">
        <v>16.8</v>
      </c>
      <c r="AL57">
        <v>16.8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0.03</v>
      </c>
      <c r="AT57">
        <v>81</v>
      </c>
      <c r="AU57">
        <v>63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6.34</v>
      </c>
      <c r="BH57">
        <v>3</v>
      </c>
      <c r="BI57">
        <v>1</v>
      </c>
      <c r="BJ57" t="s">
        <v>186</v>
      </c>
      <c r="BM57">
        <v>16001</v>
      </c>
      <c r="BN57">
        <v>0</v>
      </c>
      <c r="BO57" t="s">
        <v>184</v>
      </c>
      <c r="BP57">
        <v>1</v>
      </c>
      <c r="BQ57">
        <v>2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128</v>
      </c>
      <c r="CA57">
        <v>83</v>
      </c>
      <c r="CF57">
        <v>0</v>
      </c>
      <c r="CG57">
        <v>0</v>
      </c>
      <c r="CM57">
        <v>0</v>
      </c>
      <c r="CO57">
        <v>0</v>
      </c>
      <c r="CP57">
        <f t="shared" si="25"/>
        <v>-1491.17</v>
      </c>
      <c r="CQ57">
        <f t="shared" si="26"/>
        <v>106.512</v>
      </c>
      <c r="CR57">
        <f t="shared" si="27"/>
        <v>0</v>
      </c>
      <c r="CS57">
        <f t="shared" si="28"/>
        <v>0</v>
      </c>
      <c r="CT57">
        <f t="shared" si="29"/>
        <v>0</v>
      </c>
      <c r="CU57">
        <f t="shared" si="30"/>
        <v>0</v>
      </c>
      <c r="CV57">
        <f t="shared" si="31"/>
        <v>0</v>
      </c>
      <c r="CW57">
        <f t="shared" si="32"/>
        <v>0</v>
      </c>
      <c r="CX57">
        <f t="shared" si="33"/>
        <v>0.03</v>
      </c>
      <c r="CY57">
        <f t="shared" si="34"/>
        <v>0</v>
      </c>
      <c r="CZ57">
        <f t="shared" si="35"/>
        <v>0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133</v>
      </c>
      <c r="DW57" t="s">
        <v>133</v>
      </c>
      <c r="DX57">
        <v>1</v>
      </c>
      <c r="EE57">
        <v>41567161</v>
      </c>
      <c r="EF57">
        <v>2</v>
      </c>
      <c r="EG57" t="s">
        <v>21</v>
      </c>
      <c r="EH57">
        <v>0</v>
      </c>
      <c r="EJ57">
        <v>1</v>
      </c>
      <c r="EK57">
        <v>16001</v>
      </c>
      <c r="EL57" t="s">
        <v>158</v>
      </c>
      <c r="EM57" t="s">
        <v>159</v>
      </c>
      <c r="EQ57">
        <v>32768</v>
      </c>
      <c r="ER57">
        <v>16.8</v>
      </c>
      <c r="ES57">
        <v>16.8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36"/>
        <v>0</v>
      </c>
      <c r="FS57">
        <v>0</v>
      </c>
      <c r="FT57" t="s">
        <v>25</v>
      </c>
      <c r="FU57" t="s">
        <v>26</v>
      </c>
      <c r="FX57">
        <v>80.64</v>
      </c>
      <c r="FY57">
        <v>63.495</v>
      </c>
      <c r="GA57" t="s">
        <v>95</v>
      </c>
      <c r="GD57">
        <v>0</v>
      </c>
      <c r="GF57">
        <v>1804449115</v>
      </c>
      <c r="GG57">
        <v>2</v>
      </c>
      <c r="GH57">
        <v>0</v>
      </c>
      <c r="GI57">
        <v>2</v>
      </c>
      <c r="GJ57">
        <v>0</v>
      </c>
      <c r="GK57">
        <f>ROUND(R57*(R12)/100,2)</f>
        <v>0</v>
      </c>
      <c r="GL57">
        <f t="shared" si="37"/>
        <v>0</v>
      </c>
      <c r="GM57">
        <f t="shared" si="38"/>
        <v>-1491.17</v>
      </c>
      <c r="GN57">
        <f t="shared" si="39"/>
        <v>-1491.17</v>
      </c>
      <c r="GO57">
        <f t="shared" si="40"/>
        <v>0</v>
      </c>
      <c r="GP57">
        <f t="shared" si="41"/>
        <v>0</v>
      </c>
      <c r="GT57">
        <v>0</v>
      </c>
      <c r="GU57">
        <v>1</v>
      </c>
      <c r="GV57">
        <v>0</v>
      </c>
      <c r="GW57">
        <v>0</v>
      </c>
      <c r="GX57">
        <f t="shared" si="42"/>
        <v>0</v>
      </c>
    </row>
    <row r="58" spans="1:206" ht="12.75">
      <c r="A58">
        <v>18</v>
      </c>
      <c r="B58">
        <v>1</v>
      </c>
      <c r="C58">
        <v>187</v>
      </c>
      <c r="E58" t="s">
        <v>187</v>
      </c>
      <c r="F58" t="s">
        <v>188</v>
      </c>
      <c r="G58" t="s">
        <v>189</v>
      </c>
      <c r="H58" t="s">
        <v>133</v>
      </c>
      <c r="I58">
        <f>I56*J58</f>
        <v>7</v>
      </c>
      <c r="J58">
        <v>1</v>
      </c>
      <c r="O58">
        <f t="shared" si="10"/>
        <v>3803.13</v>
      </c>
      <c r="P58">
        <f t="shared" si="11"/>
        <v>3803.13</v>
      </c>
      <c r="Q58">
        <f t="shared" si="12"/>
        <v>0</v>
      </c>
      <c r="R58">
        <f t="shared" si="13"/>
        <v>0</v>
      </c>
      <c r="S58">
        <f t="shared" si="14"/>
        <v>0</v>
      </c>
      <c r="T58">
        <f t="shared" si="15"/>
        <v>0</v>
      </c>
      <c r="U58">
        <f t="shared" si="16"/>
        <v>0</v>
      </c>
      <c r="V58">
        <f t="shared" si="17"/>
        <v>0</v>
      </c>
      <c r="W58">
        <f t="shared" si="18"/>
        <v>0.14</v>
      </c>
      <c r="X58">
        <f t="shared" si="19"/>
        <v>0</v>
      </c>
      <c r="Y58">
        <f t="shared" si="20"/>
        <v>0</v>
      </c>
      <c r="AA58">
        <v>45926640</v>
      </c>
      <c r="AB58">
        <f t="shared" si="21"/>
        <v>120.2</v>
      </c>
      <c r="AC58">
        <f t="shared" si="22"/>
        <v>120.2</v>
      </c>
      <c r="AD58">
        <f>ROUND((((ET58)-(EU58))+AE58),6)</f>
        <v>0</v>
      </c>
      <c r="AE58">
        <f>ROUND((EU58),6)</f>
        <v>0</v>
      </c>
      <c r="AF58">
        <f>ROUND((EV58),6)</f>
        <v>0</v>
      </c>
      <c r="AG58">
        <f t="shared" si="23"/>
        <v>0</v>
      </c>
      <c r="AH58">
        <f>(EW58)</f>
        <v>0</v>
      </c>
      <c r="AI58">
        <f>(EX58)</f>
        <v>0</v>
      </c>
      <c r="AJ58">
        <f t="shared" si="24"/>
        <v>0.02</v>
      </c>
      <c r="AK58">
        <v>120.2</v>
      </c>
      <c r="AL58">
        <v>120.2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0.02</v>
      </c>
      <c r="AT58">
        <v>81</v>
      </c>
      <c r="AU58">
        <v>63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4.52</v>
      </c>
      <c r="BH58">
        <v>3</v>
      </c>
      <c r="BI58">
        <v>1</v>
      </c>
      <c r="BJ58" t="s">
        <v>190</v>
      </c>
      <c r="BM58">
        <v>16001</v>
      </c>
      <c r="BN58">
        <v>0</v>
      </c>
      <c r="BO58" t="s">
        <v>188</v>
      </c>
      <c r="BP58">
        <v>1</v>
      </c>
      <c r="BQ58">
        <v>2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Z58">
        <v>128</v>
      </c>
      <c r="CA58">
        <v>83</v>
      </c>
      <c r="CF58">
        <v>0</v>
      </c>
      <c r="CG58">
        <v>0</v>
      </c>
      <c r="CM58">
        <v>0</v>
      </c>
      <c r="CO58">
        <v>0</v>
      </c>
      <c r="CP58">
        <f t="shared" si="25"/>
        <v>3803.13</v>
      </c>
      <c r="CQ58">
        <f t="shared" si="26"/>
        <v>543.304</v>
      </c>
      <c r="CR58">
        <f t="shared" si="27"/>
        <v>0</v>
      </c>
      <c r="CS58">
        <f t="shared" si="28"/>
        <v>0</v>
      </c>
      <c r="CT58">
        <f t="shared" si="29"/>
        <v>0</v>
      </c>
      <c r="CU58">
        <f t="shared" si="30"/>
        <v>0</v>
      </c>
      <c r="CV58">
        <f t="shared" si="31"/>
        <v>0</v>
      </c>
      <c r="CW58">
        <f t="shared" si="32"/>
        <v>0</v>
      </c>
      <c r="CX58">
        <f t="shared" si="33"/>
        <v>0.02</v>
      </c>
      <c r="CY58">
        <f t="shared" si="34"/>
        <v>0</v>
      </c>
      <c r="CZ58">
        <f t="shared" si="35"/>
        <v>0</v>
      </c>
      <c r="DN58">
        <v>0</v>
      </c>
      <c r="DO58">
        <v>0</v>
      </c>
      <c r="DP58">
        <v>1</v>
      </c>
      <c r="DQ58">
        <v>1</v>
      </c>
      <c r="DU58">
        <v>1010</v>
      </c>
      <c r="DV58" t="s">
        <v>133</v>
      </c>
      <c r="DW58" t="s">
        <v>133</v>
      </c>
      <c r="DX58">
        <v>1</v>
      </c>
      <c r="EE58">
        <v>41567161</v>
      </c>
      <c r="EF58">
        <v>2</v>
      </c>
      <c r="EG58" t="s">
        <v>21</v>
      </c>
      <c r="EH58">
        <v>0</v>
      </c>
      <c r="EJ58">
        <v>1</v>
      </c>
      <c r="EK58">
        <v>16001</v>
      </c>
      <c r="EL58" t="s">
        <v>158</v>
      </c>
      <c r="EM58" t="s">
        <v>159</v>
      </c>
      <c r="EQ58">
        <v>0</v>
      </c>
      <c r="ER58">
        <v>120.2</v>
      </c>
      <c r="ES58">
        <v>120.2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36"/>
        <v>0</v>
      </c>
      <c r="FS58">
        <v>0</v>
      </c>
      <c r="FT58" t="s">
        <v>25</v>
      </c>
      <c r="FU58" t="s">
        <v>26</v>
      </c>
      <c r="FX58">
        <v>80.64</v>
      </c>
      <c r="FY58">
        <v>63.495</v>
      </c>
      <c r="GD58">
        <v>0</v>
      </c>
      <c r="GF58">
        <v>1571292714</v>
      </c>
      <c r="GG58">
        <v>2</v>
      </c>
      <c r="GH58">
        <v>1</v>
      </c>
      <c r="GI58">
        <v>2</v>
      </c>
      <c r="GJ58">
        <v>0</v>
      </c>
      <c r="GK58">
        <f>ROUND(R58*(R12)/100,2)</f>
        <v>0</v>
      </c>
      <c r="GL58">
        <f t="shared" si="37"/>
        <v>0</v>
      </c>
      <c r="GM58">
        <f t="shared" si="38"/>
        <v>3803.13</v>
      </c>
      <c r="GN58">
        <f t="shared" si="39"/>
        <v>3803.13</v>
      </c>
      <c r="GO58">
        <f t="shared" si="40"/>
        <v>0</v>
      </c>
      <c r="GP58">
        <f t="shared" si="41"/>
        <v>0</v>
      </c>
      <c r="GT58">
        <v>0</v>
      </c>
      <c r="GU58">
        <v>1</v>
      </c>
      <c r="GV58">
        <v>0</v>
      </c>
      <c r="GW58">
        <v>0</v>
      </c>
      <c r="GX58">
        <f t="shared" si="42"/>
        <v>0</v>
      </c>
    </row>
    <row r="59" spans="1:206" ht="12.75">
      <c r="A59">
        <v>17</v>
      </c>
      <c r="B59">
        <v>1</v>
      </c>
      <c r="C59">
        <f>ROW(SmtRes!A194)</f>
        <v>194</v>
      </c>
      <c r="D59">
        <f>ROW(EtalonRes!A197)</f>
        <v>197</v>
      </c>
      <c r="E59" t="s">
        <v>191</v>
      </c>
      <c r="F59" t="s">
        <v>192</v>
      </c>
      <c r="G59" t="s">
        <v>193</v>
      </c>
      <c r="H59" t="s">
        <v>133</v>
      </c>
      <c r="I59">
        <v>1</v>
      </c>
      <c r="J59">
        <v>0</v>
      </c>
      <c r="O59">
        <f t="shared" si="10"/>
        <v>272.13</v>
      </c>
      <c r="P59">
        <f t="shared" si="11"/>
        <v>1.53</v>
      </c>
      <c r="Q59">
        <f t="shared" si="12"/>
        <v>0.1</v>
      </c>
      <c r="R59">
        <f t="shared" si="13"/>
        <v>0</v>
      </c>
      <c r="S59">
        <f t="shared" si="14"/>
        <v>270.5</v>
      </c>
      <c r="T59">
        <f t="shared" si="15"/>
        <v>0</v>
      </c>
      <c r="U59">
        <f t="shared" si="16"/>
        <v>1.0005</v>
      </c>
      <c r="V59">
        <f t="shared" si="17"/>
        <v>0</v>
      </c>
      <c r="W59">
        <f t="shared" si="18"/>
        <v>0</v>
      </c>
      <c r="X59">
        <f t="shared" si="19"/>
        <v>219.11</v>
      </c>
      <c r="Y59">
        <f t="shared" si="20"/>
        <v>170.42</v>
      </c>
      <c r="AA59">
        <v>45926640</v>
      </c>
      <c r="AB59">
        <f t="shared" si="21"/>
        <v>9.523</v>
      </c>
      <c r="AC59">
        <f t="shared" si="22"/>
        <v>0.89</v>
      </c>
      <c r="AD59">
        <f>ROUND(((((ET59*1.25))-((EU59*1.25)))+AE59),6)</f>
        <v>0.1</v>
      </c>
      <c r="AE59">
        <f>ROUND(((EU59*1.25)),6)</f>
        <v>0</v>
      </c>
      <c r="AF59">
        <f>ROUND(((EV59*1.15)),6)</f>
        <v>8.533</v>
      </c>
      <c r="AG59">
        <f t="shared" si="23"/>
        <v>0</v>
      </c>
      <c r="AH59">
        <f>((EW59*1.15))</f>
        <v>1.0005</v>
      </c>
      <c r="AI59">
        <f>((EX59*1.25))</f>
        <v>0</v>
      </c>
      <c r="AJ59">
        <f t="shared" si="24"/>
        <v>0</v>
      </c>
      <c r="AK59">
        <v>8.39</v>
      </c>
      <c r="AL59">
        <v>0.89</v>
      </c>
      <c r="AM59">
        <v>0.08</v>
      </c>
      <c r="AN59">
        <v>0</v>
      </c>
      <c r="AO59">
        <v>7.42</v>
      </c>
      <c r="AP59">
        <v>0</v>
      </c>
      <c r="AQ59">
        <v>0.87</v>
      </c>
      <c r="AR59">
        <v>0</v>
      </c>
      <c r="AS59">
        <v>0</v>
      </c>
      <c r="AT59">
        <v>81</v>
      </c>
      <c r="AU59">
        <v>63</v>
      </c>
      <c r="AV59">
        <v>1</v>
      </c>
      <c r="AW59">
        <v>1</v>
      </c>
      <c r="AZ59">
        <v>1</v>
      </c>
      <c r="BA59">
        <v>31.7</v>
      </c>
      <c r="BB59">
        <v>1</v>
      </c>
      <c r="BC59">
        <v>1.72</v>
      </c>
      <c r="BH59">
        <v>0</v>
      </c>
      <c r="BI59">
        <v>1</v>
      </c>
      <c r="BJ59" t="s">
        <v>194</v>
      </c>
      <c r="BM59">
        <v>18001</v>
      </c>
      <c r="BN59">
        <v>0</v>
      </c>
      <c r="BO59" t="s">
        <v>192</v>
      </c>
      <c r="BP59">
        <v>1</v>
      </c>
      <c r="BQ59">
        <v>2</v>
      </c>
      <c r="BR59">
        <v>0</v>
      </c>
      <c r="BS59">
        <v>31.7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128</v>
      </c>
      <c r="CA59">
        <v>83</v>
      </c>
      <c r="CF59">
        <v>0</v>
      </c>
      <c r="CG59">
        <v>0</v>
      </c>
      <c r="CM59">
        <v>0</v>
      </c>
      <c r="CN59" t="s">
        <v>711</v>
      </c>
      <c r="CO59">
        <v>0</v>
      </c>
      <c r="CP59">
        <f t="shared" si="25"/>
        <v>272.13</v>
      </c>
      <c r="CQ59">
        <f t="shared" si="26"/>
        <v>1.5308</v>
      </c>
      <c r="CR59">
        <f t="shared" si="27"/>
        <v>0.1</v>
      </c>
      <c r="CS59">
        <f t="shared" si="28"/>
        <v>0</v>
      </c>
      <c r="CT59">
        <f t="shared" si="29"/>
        <v>270.49609999999996</v>
      </c>
      <c r="CU59">
        <f t="shared" si="30"/>
        <v>0</v>
      </c>
      <c r="CV59">
        <f t="shared" si="31"/>
        <v>1.0005</v>
      </c>
      <c r="CW59">
        <f t="shared" si="32"/>
        <v>0</v>
      </c>
      <c r="CX59">
        <f t="shared" si="33"/>
        <v>0</v>
      </c>
      <c r="CY59">
        <f t="shared" si="34"/>
        <v>219.105</v>
      </c>
      <c r="CZ59">
        <f t="shared" si="35"/>
        <v>170.415</v>
      </c>
      <c r="DE59" t="s">
        <v>19</v>
      </c>
      <c r="DF59" t="s">
        <v>19</v>
      </c>
      <c r="DG59" t="s">
        <v>20</v>
      </c>
      <c r="DI59" t="s">
        <v>20</v>
      </c>
      <c r="DJ59" t="s">
        <v>19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133</v>
      </c>
      <c r="DW59" t="s">
        <v>133</v>
      </c>
      <c r="DX59">
        <v>1</v>
      </c>
      <c r="EE59">
        <v>41567163</v>
      </c>
      <c r="EF59">
        <v>2</v>
      </c>
      <c r="EG59" t="s">
        <v>21</v>
      </c>
      <c r="EH59">
        <v>0</v>
      </c>
      <c r="EJ59">
        <v>1</v>
      </c>
      <c r="EK59">
        <v>18001</v>
      </c>
      <c r="EL59" t="s">
        <v>195</v>
      </c>
      <c r="EM59" t="s">
        <v>196</v>
      </c>
      <c r="EO59" t="s">
        <v>24</v>
      </c>
      <c r="EQ59">
        <v>0</v>
      </c>
      <c r="ER59">
        <v>8.39</v>
      </c>
      <c r="ES59">
        <v>0.89</v>
      </c>
      <c r="ET59">
        <v>0.08</v>
      </c>
      <c r="EU59">
        <v>0</v>
      </c>
      <c r="EV59">
        <v>7.42</v>
      </c>
      <c r="EW59">
        <v>0.87</v>
      </c>
      <c r="EX59">
        <v>0</v>
      </c>
      <c r="EY59">
        <v>0</v>
      </c>
      <c r="FQ59">
        <v>0</v>
      </c>
      <c r="FR59">
        <f t="shared" si="36"/>
        <v>0</v>
      </c>
      <c r="FS59">
        <v>0</v>
      </c>
      <c r="FT59" t="s">
        <v>25</v>
      </c>
      <c r="FU59" t="s">
        <v>26</v>
      </c>
      <c r="FX59">
        <v>80.64</v>
      </c>
      <c r="FY59">
        <v>63.495</v>
      </c>
      <c r="GD59">
        <v>0</v>
      </c>
      <c r="GF59">
        <v>-1606137007</v>
      </c>
      <c r="GG59">
        <v>2</v>
      </c>
      <c r="GH59">
        <v>1</v>
      </c>
      <c r="GI59">
        <v>2</v>
      </c>
      <c r="GJ59">
        <v>0</v>
      </c>
      <c r="GK59">
        <f>ROUND(R59*(R12)/100,2)</f>
        <v>0</v>
      </c>
      <c r="GL59">
        <f t="shared" si="37"/>
        <v>0</v>
      </c>
      <c r="GM59">
        <f t="shared" si="38"/>
        <v>661.66</v>
      </c>
      <c r="GN59">
        <f t="shared" si="39"/>
        <v>661.66</v>
      </c>
      <c r="GO59">
        <f t="shared" si="40"/>
        <v>0</v>
      </c>
      <c r="GP59">
        <f t="shared" si="41"/>
        <v>0</v>
      </c>
      <c r="GT59">
        <v>0</v>
      </c>
      <c r="GU59">
        <v>1</v>
      </c>
      <c r="GV59">
        <v>0</v>
      </c>
      <c r="GW59">
        <v>0</v>
      </c>
      <c r="GX59">
        <f t="shared" si="42"/>
        <v>0</v>
      </c>
    </row>
    <row r="60" spans="1:206" ht="12.75">
      <c r="A60">
        <v>18</v>
      </c>
      <c r="B60">
        <v>1</v>
      </c>
      <c r="C60">
        <v>193</v>
      </c>
      <c r="E60" t="s">
        <v>197</v>
      </c>
      <c r="F60" t="s">
        <v>161</v>
      </c>
      <c r="G60" t="s">
        <v>162</v>
      </c>
      <c r="H60" t="s">
        <v>163</v>
      </c>
      <c r="I60">
        <f>I59*J60</f>
        <v>1.5</v>
      </c>
      <c r="J60">
        <v>1.5</v>
      </c>
      <c r="O60">
        <f t="shared" si="10"/>
        <v>93.69</v>
      </c>
      <c r="P60">
        <f t="shared" si="11"/>
        <v>93.69</v>
      </c>
      <c r="Q60">
        <f t="shared" si="12"/>
        <v>0</v>
      </c>
      <c r="R60">
        <f t="shared" si="13"/>
        <v>0</v>
      </c>
      <c r="S60">
        <f t="shared" si="14"/>
        <v>0</v>
      </c>
      <c r="T60">
        <f t="shared" si="15"/>
        <v>0</v>
      </c>
      <c r="U60">
        <f t="shared" si="16"/>
        <v>0</v>
      </c>
      <c r="V60">
        <f t="shared" si="17"/>
        <v>0</v>
      </c>
      <c r="W60">
        <f t="shared" si="18"/>
        <v>0</v>
      </c>
      <c r="X60">
        <f t="shared" si="19"/>
        <v>0</v>
      </c>
      <c r="Y60">
        <f t="shared" si="20"/>
        <v>0</v>
      </c>
      <c r="AA60">
        <v>45926640</v>
      </c>
      <c r="AB60">
        <f t="shared" si="21"/>
        <v>30.92</v>
      </c>
      <c r="AC60">
        <f t="shared" si="22"/>
        <v>30.92</v>
      </c>
      <c r="AD60">
        <f>ROUND((((ET60)-(EU60))+AE60),6)</f>
        <v>0</v>
      </c>
      <c r="AE60">
        <f aca="true" t="shared" si="43" ref="AE60:AF62">ROUND((EU60),6)</f>
        <v>0</v>
      </c>
      <c r="AF60">
        <f t="shared" si="43"/>
        <v>0</v>
      </c>
      <c r="AG60">
        <f t="shared" si="23"/>
        <v>0</v>
      </c>
      <c r="AH60">
        <f aca="true" t="shared" si="44" ref="AH60:AI62">(EW60)</f>
        <v>0</v>
      </c>
      <c r="AI60">
        <f t="shared" si="44"/>
        <v>0</v>
      </c>
      <c r="AJ60">
        <f t="shared" si="24"/>
        <v>0</v>
      </c>
      <c r="AK60">
        <v>30.92</v>
      </c>
      <c r="AL60">
        <v>30.92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81</v>
      </c>
      <c r="AU60">
        <v>63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2.02</v>
      </c>
      <c r="BH60">
        <v>3</v>
      </c>
      <c r="BI60">
        <v>1</v>
      </c>
      <c r="BJ60" t="s">
        <v>164</v>
      </c>
      <c r="BM60">
        <v>16001</v>
      </c>
      <c r="BN60">
        <v>0</v>
      </c>
      <c r="BO60" t="s">
        <v>161</v>
      </c>
      <c r="BP60">
        <v>1</v>
      </c>
      <c r="BQ60">
        <v>2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Z60">
        <v>128</v>
      </c>
      <c r="CA60">
        <v>83</v>
      </c>
      <c r="CF60">
        <v>0</v>
      </c>
      <c r="CG60">
        <v>0</v>
      </c>
      <c r="CM60">
        <v>0</v>
      </c>
      <c r="CO60">
        <v>0</v>
      </c>
      <c r="CP60">
        <f t="shared" si="25"/>
        <v>93.69</v>
      </c>
      <c r="CQ60">
        <f t="shared" si="26"/>
        <v>62.458400000000005</v>
      </c>
      <c r="CR60">
        <f t="shared" si="27"/>
        <v>0</v>
      </c>
      <c r="CS60">
        <f t="shared" si="28"/>
        <v>0</v>
      </c>
      <c r="CT60">
        <f t="shared" si="29"/>
        <v>0</v>
      </c>
      <c r="CU60">
        <f t="shared" si="30"/>
        <v>0</v>
      </c>
      <c r="CV60">
        <f t="shared" si="31"/>
        <v>0</v>
      </c>
      <c r="CW60">
        <f t="shared" si="32"/>
        <v>0</v>
      </c>
      <c r="CX60">
        <f t="shared" si="33"/>
        <v>0</v>
      </c>
      <c r="CY60">
        <f t="shared" si="34"/>
        <v>0</v>
      </c>
      <c r="CZ60">
        <f t="shared" si="35"/>
        <v>0</v>
      </c>
      <c r="DN60">
        <v>0</v>
      </c>
      <c r="DO60">
        <v>0</v>
      </c>
      <c r="DP60">
        <v>1</v>
      </c>
      <c r="DQ60">
        <v>1</v>
      </c>
      <c r="DU60">
        <v>1013</v>
      </c>
      <c r="DV60" t="s">
        <v>163</v>
      </c>
      <c r="DW60" t="s">
        <v>85</v>
      </c>
      <c r="DX60">
        <v>1</v>
      </c>
      <c r="EE60">
        <v>41567161</v>
      </c>
      <c r="EF60">
        <v>2</v>
      </c>
      <c r="EG60" t="s">
        <v>21</v>
      </c>
      <c r="EH60">
        <v>0</v>
      </c>
      <c r="EJ60">
        <v>1</v>
      </c>
      <c r="EK60">
        <v>16001</v>
      </c>
      <c r="EL60" t="s">
        <v>158</v>
      </c>
      <c r="EM60" t="s">
        <v>159</v>
      </c>
      <c r="EQ60">
        <v>0</v>
      </c>
      <c r="ER60">
        <v>30.92</v>
      </c>
      <c r="ES60">
        <v>30.92</v>
      </c>
      <c r="ET60">
        <v>0</v>
      </c>
      <c r="EU60">
        <v>0</v>
      </c>
      <c r="EV60">
        <v>0</v>
      </c>
      <c r="EW60">
        <v>0</v>
      </c>
      <c r="EX60">
        <v>0</v>
      </c>
      <c r="FQ60">
        <v>0</v>
      </c>
      <c r="FR60">
        <f t="shared" si="36"/>
        <v>0</v>
      </c>
      <c r="FS60">
        <v>0</v>
      </c>
      <c r="FT60" t="s">
        <v>25</v>
      </c>
      <c r="FU60" t="s">
        <v>26</v>
      </c>
      <c r="FX60">
        <v>80.64</v>
      </c>
      <c r="FY60">
        <v>63.495</v>
      </c>
      <c r="GD60">
        <v>0</v>
      </c>
      <c r="GF60">
        <v>-1851080947</v>
      </c>
      <c r="GG60">
        <v>2</v>
      </c>
      <c r="GH60">
        <v>1</v>
      </c>
      <c r="GI60">
        <v>2</v>
      </c>
      <c r="GJ60">
        <v>0</v>
      </c>
      <c r="GK60">
        <f>ROUND(R60*(R12)/100,2)</f>
        <v>0</v>
      </c>
      <c r="GL60">
        <f t="shared" si="37"/>
        <v>0</v>
      </c>
      <c r="GM60">
        <f t="shared" si="38"/>
        <v>93.69</v>
      </c>
      <c r="GN60">
        <f t="shared" si="39"/>
        <v>93.69</v>
      </c>
      <c r="GO60">
        <f t="shared" si="40"/>
        <v>0</v>
      </c>
      <c r="GP60">
        <f t="shared" si="41"/>
        <v>0</v>
      </c>
      <c r="GT60">
        <v>0</v>
      </c>
      <c r="GU60">
        <v>1</v>
      </c>
      <c r="GV60">
        <v>0</v>
      </c>
      <c r="GW60">
        <v>0</v>
      </c>
      <c r="GX60">
        <f t="shared" si="42"/>
        <v>0</v>
      </c>
    </row>
    <row r="61" spans="1:206" ht="12.75">
      <c r="A61">
        <v>18</v>
      </c>
      <c r="B61">
        <v>1</v>
      </c>
      <c r="C61">
        <v>194</v>
      </c>
      <c r="E61" t="s">
        <v>198</v>
      </c>
      <c r="F61" t="s">
        <v>199</v>
      </c>
      <c r="G61" t="s">
        <v>200</v>
      </c>
      <c r="H61" t="s">
        <v>201</v>
      </c>
      <c r="I61">
        <f>I59*J61</f>
        <v>1</v>
      </c>
      <c r="J61">
        <v>1</v>
      </c>
      <c r="O61">
        <f t="shared" si="10"/>
        <v>19816.79</v>
      </c>
      <c r="P61">
        <f t="shared" si="11"/>
        <v>19816.79</v>
      </c>
      <c r="Q61">
        <f t="shared" si="12"/>
        <v>0</v>
      </c>
      <c r="R61">
        <f t="shared" si="13"/>
        <v>0</v>
      </c>
      <c r="S61">
        <f t="shared" si="14"/>
        <v>0</v>
      </c>
      <c r="T61">
        <f t="shared" si="15"/>
        <v>0</v>
      </c>
      <c r="U61">
        <f t="shared" si="16"/>
        <v>0</v>
      </c>
      <c r="V61">
        <f t="shared" si="17"/>
        <v>0</v>
      </c>
      <c r="W61">
        <f t="shared" si="18"/>
        <v>0</v>
      </c>
      <c r="X61">
        <f t="shared" si="19"/>
        <v>0</v>
      </c>
      <c r="Y61">
        <f t="shared" si="20"/>
        <v>0</v>
      </c>
      <c r="AA61">
        <v>45926640</v>
      </c>
      <c r="AB61">
        <f t="shared" si="21"/>
        <v>19816.79</v>
      </c>
      <c r="AC61">
        <f t="shared" si="22"/>
        <v>19816.79</v>
      </c>
      <c r="AD61">
        <f>ROUND((((ET61)-(EU61))+AE61),6)</f>
        <v>0</v>
      </c>
      <c r="AE61">
        <f t="shared" si="43"/>
        <v>0</v>
      </c>
      <c r="AF61">
        <f t="shared" si="43"/>
        <v>0</v>
      </c>
      <c r="AG61">
        <f t="shared" si="23"/>
        <v>0</v>
      </c>
      <c r="AH61">
        <f t="shared" si="44"/>
        <v>0</v>
      </c>
      <c r="AI61">
        <f t="shared" si="44"/>
        <v>0</v>
      </c>
      <c r="AJ61">
        <f t="shared" si="24"/>
        <v>0</v>
      </c>
      <c r="AK61">
        <v>19816.79</v>
      </c>
      <c r="AL61">
        <v>19816.79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81</v>
      </c>
      <c r="AU61">
        <v>63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1</v>
      </c>
      <c r="BH61">
        <v>3</v>
      </c>
      <c r="BI61">
        <v>1</v>
      </c>
      <c r="BJ61" t="s">
        <v>202</v>
      </c>
      <c r="BM61">
        <v>18001</v>
      </c>
      <c r="BN61">
        <v>0</v>
      </c>
      <c r="BP61">
        <v>0</v>
      </c>
      <c r="BQ61">
        <v>2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128</v>
      </c>
      <c r="CA61">
        <v>83</v>
      </c>
      <c r="CF61">
        <v>0</v>
      </c>
      <c r="CG61">
        <v>0</v>
      </c>
      <c r="CM61">
        <v>0</v>
      </c>
      <c r="CO61">
        <v>0</v>
      </c>
      <c r="CP61">
        <f t="shared" si="25"/>
        <v>19816.79</v>
      </c>
      <c r="CQ61">
        <f t="shared" si="26"/>
        <v>19816.79</v>
      </c>
      <c r="CR61">
        <f t="shared" si="27"/>
        <v>0</v>
      </c>
      <c r="CS61">
        <f t="shared" si="28"/>
        <v>0</v>
      </c>
      <c r="CT61">
        <f t="shared" si="29"/>
        <v>0</v>
      </c>
      <c r="CU61">
        <f t="shared" si="30"/>
        <v>0</v>
      </c>
      <c r="CV61">
        <f t="shared" si="31"/>
        <v>0</v>
      </c>
      <c r="CW61">
        <f t="shared" si="32"/>
        <v>0</v>
      </c>
      <c r="CX61">
        <f t="shared" si="33"/>
        <v>0</v>
      </c>
      <c r="CY61">
        <f t="shared" si="34"/>
        <v>0</v>
      </c>
      <c r="CZ61">
        <f t="shared" si="35"/>
        <v>0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201</v>
      </c>
      <c r="DW61" t="s">
        <v>201</v>
      </c>
      <c r="DX61">
        <v>1</v>
      </c>
      <c r="EE61">
        <v>41567163</v>
      </c>
      <c r="EF61">
        <v>2</v>
      </c>
      <c r="EG61" t="s">
        <v>21</v>
      </c>
      <c r="EH61">
        <v>0</v>
      </c>
      <c r="EJ61">
        <v>1</v>
      </c>
      <c r="EK61">
        <v>18001</v>
      </c>
      <c r="EL61" t="s">
        <v>195</v>
      </c>
      <c r="EM61" t="s">
        <v>196</v>
      </c>
      <c r="EQ61">
        <v>0</v>
      </c>
      <c r="ER61">
        <v>19816.79</v>
      </c>
      <c r="ES61">
        <v>19816.79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36"/>
        <v>0</v>
      </c>
      <c r="FS61">
        <v>0</v>
      </c>
      <c r="FT61" t="s">
        <v>25</v>
      </c>
      <c r="FU61" t="s">
        <v>26</v>
      </c>
      <c r="FX61">
        <v>80.64</v>
      </c>
      <c r="FY61">
        <v>63.495</v>
      </c>
      <c r="GA61" t="s">
        <v>95</v>
      </c>
      <c r="GD61">
        <v>0</v>
      </c>
      <c r="GF61">
        <v>-758333319</v>
      </c>
      <c r="GG61">
        <v>2</v>
      </c>
      <c r="GH61">
        <v>0</v>
      </c>
      <c r="GI61">
        <v>-2</v>
      </c>
      <c r="GJ61">
        <v>0</v>
      </c>
      <c r="GK61">
        <f>ROUND(R61*(R12)/100,2)</f>
        <v>0</v>
      </c>
      <c r="GL61">
        <f t="shared" si="37"/>
        <v>0</v>
      </c>
      <c r="GM61">
        <f t="shared" si="38"/>
        <v>19816.79</v>
      </c>
      <c r="GN61">
        <f t="shared" si="39"/>
        <v>19816.79</v>
      </c>
      <c r="GO61">
        <f t="shared" si="40"/>
        <v>0</v>
      </c>
      <c r="GP61">
        <f t="shared" si="41"/>
        <v>0</v>
      </c>
      <c r="GT61">
        <v>0</v>
      </c>
      <c r="GU61">
        <v>1</v>
      </c>
      <c r="GV61">
        <v>0</v>
      </c>
      <c r="GW61">
        <v>0</v>
      </c>
      <c r="GX61">
        <f t="shared" si="42"/>
        <v>0</v>
      </c>
    </row>
    <row r="62" spans="1:206" ht="12.75">
      <c r="A62">
        <v>17</v>
      </c>
      <c r="B62">
        <v>1</v>
      </c>
      <c r="C62">
        <f>ROW(SmtRes!A204)</f>
        <v>204</v>
      </c>
      <c r="D62">
        <f>ROW(EtalonRes!A207)</f>
        <v>207</v>
      </c>
      <c r="E62" t="s">
        <v>203</v>
      </c>
      <c r="F62" t="s">
        <v>204</v>
      </c>
      <c r="G62" t="s">
        <v>205</v>
      </c>
      <c r="H62" t="s">
        <v>206</v>
      </c>
      <c r="I62">
        <f>ROUND(2/100,9)</f>
        <v>0.02</v>
      </c>
      <c r="J62">
        <v>0</v>
      </c>
      <c r="O62">
        <f t="shared" si="10"/>
        <v>518.46</v>
      </c>
      <c r="P62">
        <f t="shared" si="11"/>
        <v>36.8</v>
      </c>
      <c r="Q62">
        <f t="shared" si="12"/>
        <v>37.38</v>
      </c>
      <c r="R62">
        <f t="shared" si="13"/>
        <v>7.53</v>
      </c>
      <c r="S62">
        <f t="shared" si="14"/>
        <v>444.28</v>
      </c>
      <c r="T62">
        <f t="shared" si="15"/>
        <v>0</v>
      </c>
      <c r="U62">
        <f t="shared" si="16"/>
        <v>1.4128</v>
      </c>
      <c r="V62">
        <f t="shared" si="17"/>
        <v>0.0176</v>
      </c>
      <c r="W62">
        <f t="shared" si="18"/>
        <v>0</v>
      </c>
      <c r="X62">
        <f t="shared" si="19"/>
        <v>302.71</v>
      </c>
      <c r="Y62">
        <f t="shared" si="20"/>
        <v>266.57</v>
      </c>
      <c r="AA62">
        <v>45926640</v>
      </c>
      <c r="AB62">
        <f t="shared" si="21"/>
        <v>1442.38</v>
      </c>
      <c r="AC62">
        <f t="shared" si="22"/>
        <v>515.36</v>
      </c>
      <c r="AD62">
        <f>ROUND((((ET62)-(EU62))+AE62),6)</f>
        <v>226.27</v>
      </c>
      <c r="AE62">
        <f t="shared" si="43"/>
        <v>11.88</v>
      </c>
      <c r="AF62">
        <f t="shared" si="43"/>
        <v>700.75</v>
      </c>
      <c r="AG62">
        <f t="shared" si="23"/>
        <v>0</v>
      </c>
      <c r="AH62">
        <f t="shared" si="44"/>
        <v>70.64</v>
      </c>
      <c r="AI62">
        <f t="shared" si="44"/>
        <v>0.88</v>
      </c>
      <c r="AJ62">
        <f t="shared" si="24"/>
        <v>0</v>
      </c>
      <c r="AK62">
        <v>1442.38</v>
      </c>
      <c r="AL62">
        <v>515.36</v>
      </c>
      <c r="AM62">
        <v>226.27</v>
      </c>
      <c r="AN62">
        <v>11.88</v>
      </c>
      <c r="AO62">
        <v>700.75</v>
      </c>
      <c r="AP62">
        <v>0</v>
      </c>
      <c r="AQ62">
        <v>70.64</v>
      </c>
      <c r="AR62">
        <v>0.88</v>
      </c>
      <c r="AS62">
        <v>0</v>
      </c>
      <c r="AT62">
        <v>67</v>
      </c>
      <c r="AU62">
        <v>59</v>
      </c>
      <c r="AV62">
        <v>1</v>
      </c>
      <c r="AW62">
        <v>1</v>
      </c>
      <c r="AZ62">
        <v>1</v>
      </c>
      <c r="BA62">
        <v>31.7</v>
      </c>
      <c r="BB62">
        <v>8.26</v>
      </c>
      <c r="BC62">
        <v>3.57</v>
      </c>
      <c r="BH62">
        <v>0</v>
      </c>
      <c r="BI62">
        <v>2</v>
      </c>
      <c r="BJ62" t="s">
        <v>207</v>
      </c>
      <c r="BM62">
        <v>108001</v>
      </c>
      <c r="BN62">
        <v>0</v>
      </c>
      <c r="BO62" t="s">
        <v>204</v>
      </c>
      <c r="BP62">
        <v>1</v>
      </c>
      <c r="BQ62">
        <v>3</v>
      </c>
      <c r="BR62">
        <v>0</v>
      </c>
      <c r="BS62">
        <v>31.7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95</v>
      </c>
      <c r="CA62">
        <v>65</v>
      </c>
      <c r="CF62">
        <v>0</v>
      </c>
      <c r="CG62">
        <v>0</v>
      </c>
      <c r="CM62">
        <v>0</v>
      </c>
      <c r="CO62">
        <v>0</v>
      </c>
      <c r="CP62">
        <f t="shared" si="25"/>
        <v>518.46</v>
      </c>
      <c r="CQ62">
        <f t="shared" si="26"/>
        <v>1839.8352</v>
      </c>
      <c r="CR62">
        <f t="shared" si="27"/>
        <v>1868.9902</v>
      </c>
      <c r="CS62">
        <f t="shared" si="28"/>
        <v>376.596</v>
      </c>
      <c r="CT62">
        <f t="shared" si="29"/>
        <v>22213.774999999998</v>
      </c>
      <c r="CU62">
        <f t="shared" si="30"/>
        <v>0</v>
      </c>
      <c r="CV62">
        <f t="shared" si="31"/>
        <v>70.64</v>
      </c>
      <c r="CW62">
        <f t="shared" si="32"/>
        <v>0.88</v>
      </c>
      <c r="CX62">
        <f t="shared" si="33"/>
        <v>0</v>
      </c>
      <c r="CY62">
        <f t="shared" si="34"/>
        <v>302.7127</v>
      </c>
      <c r="CZ62">
        <f t="shared" si="35"/>
        <v>266.56789999999995</v>
      </c>
      <c r="DN62">
        <v>0</v>
      </c>
      <c r="DO62">
        <v>0</v>
      </c>
      <c r="DP62">
        <v>1</v>
      </c>
      <c r="DQ62">
        <v>1</v>
      </c>
      <c r="DU62">
        <v>1010</v>
      </c>
      <c r="DV62" t="s">
        <v>206</v>
      </c>
      <c r="DW62" t="s">
        <v>206</v>
      </c>
      <c r="DX62">
        <v>100</v>
      </c>
      <c r="EE62">
        <v>41567017</v>
      </c>
      <c r="EF62">
        <v>3</v>
      </c>
      <c r="EG62" t="s">
        <v>208</v>
      </c>
      <c r="EH62">
        <v>0</v>
      </c>
      <c r="EJ62">
        <v>2</v>
      </c>
      <c r="EK62">
        <v>108001</v>
      </c>
      <c r="EL62" t="s">
        <v>209</v>
      </c>
      <c r="EM62" t="s">
        <v>210</v>
      </c>
      <c r="EQ62">
        <v>0</v>
      </c>
      <c r="ER62">
        <v>1442.38</v>
      </c>
      <c r="ES62">
        <v>515.36</v>
      </c>
      <c r="ET62">
        <v>226.27</v>
      </c>
      <c r="EU62">
        <v>11.88</v>
      </c>
      <c r="EV62">
        <v>700.75</v>
      </c>
      <c r="EW62">
        <v>70.64</v>
      </c>
      <c r="EX62">
        <v>0.88</v>
      </c>
      <c r="EY62">
        <v>0</v>
      </c>
      <c r="FQ62">
        <v>0</v>
      </c>
      <c r="FR62">
        <f t="shared" si="36"/>
        <v>0</v>
      </c>
      <c r="FS62">
        <v>0</v>
      </c>
      <c r="FT62" t="s">
        <v>211</v>
      </c>
      <c r="FU62" t="s">
        <v>212</v>
      </c>
      <c r="FX62">
        <v>66.5</v>
      </c>
      <c r="FY62">
        <v>58.5</v>
      </c>
      <c r="GD62">
        <v>0</v>
      </c>
      <c r="GF62">
        <v>1461567135</v>
      </c>
      <c r="GG62">
        <v>2</v>
      </c>
      <c r="GH62">
        <v>1</v>
      </c>
      <c r="GI62">
        <v>2</v>
      </c>
      <c r="GJ62">
        <v>0</v>
      </c>
      <c r="GK62">
        <f>ROUND(R62*(R12)/100,2)</f>
        <v>0</v>
      </c>
      <c r="GL62">
        <f t="shared" si="37"/>
        <v>0</v>
      </c>
      <c r="GM62">
        <f t="shared" si="38"/>
        <v>1087.74</v>
      </c>
      <c r="GN62">
        <f t="shared" si="39"/>
        <v>0</v>
      </c>
      <c r="GO62">
        <f t="shared" si="40"/>
        <v>1087.74</v>
      </c>
      <c r="GP62">
        <f t="shared" si="41"/>
        <v>0</v>
      </c>
      <c r="GT62">
        <v>0</v>
      </c>
      <c r="GU62">
        <v>1</v>
      </c>
      <c r="GV62">
        <v>0</v>
      </c>
      <c r="GW62">
        <v>0</v>
      </c>
      <c r="GX62">
        <f t="shared" si="42"/>
        <v>0</v>
      </c>
    </row>
    <row r="64" spans="1:118" ht="12.75">
      <c r="A64" s="2">
        <v>51</v>
      </c>
      <c r="B64" s="2">
        <f>B20</f>
        <v>1</v>
      </c>
      <c r="C64" s="2">
        <f>A20</f>
        <v>3</v>
      </c>
      <c r="D64" s="2">
        <f>ROW(A20)</f>
        <v>20</v>
      </c>
      <c r="E64" s="2"/>
      <c r="F64" s="2" t="str">
        <f>IF(F20&lt;&gt;"",F20,"")</f>
        <v>Новая локальная смета</v>
      </c>
      <c r="G64" s="2" t="str">
        <f>IF(G20&lt;&gt;"",G20,"")</f>
        <v>Новая локальная смета</v>
      </c>
      <c r="H64" s="2"/>
      <c r="I64" s="2"/>
      <c r="J64" s="2"/>
      <c r="K64" s="2"/>
      <c r="L64" s="2"/>
      <c r="M64" s="2"/>
      <c r="N64" s="2"/>
      <c r="O64" s="2">
        <f aca="true" t="shared" si="45" ref="O64:T64">ROUND(AB64,2)</f>
        <v>131177.17</v>
      </c>
      <c r="P64" s="2">
        <f t="shared" si="45"/>
        <v>91197.28</v>
      </c>
      <c r="Q64" s="2">
        <f t="shared" si="45"/>
        <v>1904.25</v>
      </c>
      <c r="R64" s="2">
        <f t="shared" si="45"/>
        <v>455.32</v>
      </c>
      <c r="S64" s="2">
        <f t="shared" si="45"/>
        <v>38075.64</v>
      </c>
      <c r="T64" s="2">
        <f t="shared" si="45"/>
        <v>0</v>
      </c>
      <c r="U64" s="2">
        <f>AH64</f>
        <v>129.99680700000002</v>
      </c>
      <c r="V64" s="2">
        <f>AI64</f>
        <v>1.2257624999999999</v>
      </c>
      <c r="W64" s="2">
        <f>ROUND(AJ64,2)</f>
        <v>9.56</v>
      </c>
      <c r="X64" s="2">
        <f>ROUND(AK64,2)</f>
        <v>28406.63</v>
      </c>
      <c r="Y64" s="2">
        <f>ROUND(AL64,2)</f>
        <v>20178.29</v>
      </c>
      <c r="Z64" s="2"/>
      <c r="AA64" s="2"/>
      <c r="AB64" s="2">
        <f>ROUND(SUMIF(AA24:AA62,"=45926640",O24:O62),2)</f>
        <v>131177.17</v>
      </c>
      <c r="AC64" s="2">
        <f>ROUND(SUMIF(AA24:AA62,"=45926640",P24:P62),2)</f>
        <v>91197.28</v>
      </c>
      <c r="AD64" s="2">
        <f>ROUND(SUMIF(AA24:AA62,"=45926640",Q24:Q62),2)</f>
        <v>1904.25</v>
      </c>
      <c r="AE64" s="2">
        <f>ROUND(SUMIF(AA24:AA62,"=45926640",R24:R62),2)</f>
        <v>455.32</v>
      </c>
      <c r="AF64" s="2">
        <f>ROUND(SUMIF(AA24:AA62,"=45926640",S24:S62),2)</f>
        <v>38075.64</v>
      </c>
      <c r="AG64" s="2">
        <f>ROUND(SUMIF(AA24:AA62,"=45926640",T24:T62),2)</f>
        <v>0</v>
      </c>
      <c r="AH64" s="2">
        <f>SUMIF(AA24:AA62,"=45926640",U24:U62)</f>
        <v>129.99680700000002</v>
      </c>
      <c r="AI64" s="2">
        <f>SUMIF(AA24:AA62,"=45926640",V24:V62)</f>
        <v>1.2257624999999999</v>
      </c>
      <c r="AJ64" s="2">
        <f>ROUND(SUMIF(AA24:AA62,"=45926640",W24:W62),2)</f>
        <v>9.56</v>
      </c>
      <c r="AK64" s="2">
        <f>ROUND(SUMIF(AA24:AA62,"=45926640",X24:X62),2)</f>
        <v>28406.63</v>
      </c>
      <c r="AL64" s="2">
        <f>ROUND(SUMIF(AA24:AA62,"=45926640",Y24:Y62),2)</f>
        <v>20178.29</v>
      </c>
      <c r="AM64" s="2"/>
      <c r="AN64" s="2"/>
      <c r="AO64" s="2">
        <f aca="true" t="shared" si="46" ref="AO64:AZ64">ROUND(BB64,2)</f>
        <v>0</v>
      </c>
      <c r="AP64" s="2">
        <f t="shared" si="46"/>
        <v>0</v>
      </c>
      <c r="AQ64" s="2">
        <f t="shared" si="46"/>
        <v>0</v>
      </c>
      <c r="AR64" s="2">
        <f t="shared" si="46"/>
        <v>179762.09</v>
      </c>
      <c r="AS64" s="2">
        <f t="shared" si="46"/>
        <v>178674.35</v>
      </c>
      <c r="AT64" s="2">
        <f t="shared" si="46"/>
        <v>1087.74</v>
      </c>
      <c r="AU64" s="2">
        <f t="shared" si="46"/>
        <v>0</v>
      </c>
      <c r="AV64" s="2">
        <f t="shared" si="46"/>
        <v>91197.28</v>
      </c>
      <c r="AW64" s="2">
        <f t="shared" si="46"/>
        <v>91197.28</v>
      </c>
      <c r="AX64" s="2">
        <f t="shared" si="46"/>
        <v>0</v>
      </c>
      <c r="AY64" s="2">
        <f t="shared" si="46"/>
        <v>91197.28</v>
      </c>
      <c r="AZ64" s="2">
        <f t="shared" si="46"/>
        <v>0</v>
      </c>
      <c r="BA64" s="2"/>
      <c r="BB64" s="2">
        <f>ROUND(SUMIF(AA24:AA62,"=45926640",FQ24:FQ62),2)</f>
        <v>0</v>
      </c>
      <c r="BC64" s="2">
        <f>ROUND(SUMIF(AA24:AA62,"=45926640",FR24:FR62),2)</f>
        <v>0</v>
      </c>
      <c r="BD64" s="2">
        <f>ROUND(SUMIF(AA24:AA62,"=45926640",GL24:GL62),2)</f>
        <v>0</v>
      </c>
      <c r="BE64" s="2">
        <f>ROUND(SUMIF(AA24:AA62,"=45926640",GM24:GM62),2)</f>
        <v>179762.09</v>
      </c>
      <c r="BF64" s="2">
        <f>ROUND(SUMIF(AA24:AA62,"=45926640",GN24:GN62),2)</f>
        <v>178674.35</v>
      </c>
      <c r="BG64" s="2">
        <f>ROUND(SUMIF(AA24:AA62,"=45926640",GO24:GO62),2)</f>
        <v>1087.74</v>
      </c>
      <c r="BH64" s="2">
        <f>ROUND(SUMIF(AA24:AA62,"=45926640",GP24:GP62),2)</f>
        <v>0</v>
      </c>
      <c r="BI64" s="2">
        <f>AC64-BB64</f>
        <v>91197.28</v>
      </c>
      <c r="BJ64" s="2">
        <f>AC64-BC64</f>
        <v>91197.28</v>
      </c>
      <c r="BK64" s="2">
        <f>BB64-BD64</f>
        <v>0</v>
      </c>
      <c r="BL64" s="2">
        <f>AC64-BB64-BC64+BD64</f>
        <v>91197.28</v>
      </c>
      <c r="BM64" s="2">
        <f>BC64-BD64</f>
        <v>0</v>
      </c>
      <c r="BN64" s="2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>
        <v>0</v>
      </c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201</v>
      </c>
      <c r="F66" s="4">
        <f>ROUND(Source!O64,O66)</f>
        <v>131177.17</v>
      </c>
      <c r="G66" s="4" t="s">
        <v>213</v>
      </c>
      <c r="H66" s="4" t="s">
        <v>214</v>
      </c>
      <c r="I66" s="4"/>
      <c r="J66" s="4"/>
      <c r="K66" s="4">
        <v>201</v>
      </c>
      <c r="L66" s="4">
        <v>1</v>
      </c>
      <c r="M66" s="4">
        <v>3</v>
      </c>
      <c r="N66" s="4" t="s">
        <v>6</v>
      </c>
      <c r="O66" s="4">
        <v>2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202</v>
      </c>
      <c r="F67" s="4">
        <f>ROUND(Source!P64,O67)</f>
        <v>91197.28</v>
      </c>
      <c r="G67" s="4" t="s">
        <v>215</v>
      </c>
      <c r="H67" s="4" t="s">
        <v>216</v>
      </c>
      <c r="I67" s="4"/>
      <c r="J67" s="4"/>
      <c r="K67" s="4">
        <v>202</v>
      </c>
      <c r="L67" s="4">
        <v>2</v>
      </c>
      <c r="M67" s="4">
        <v>3</v>
      </c>
      <c r="N67" s="4" t="s">
        <v>6</v>
      </c>
      <c r="O67" s="4">
        <v>2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222</v>
      </c>
      <c r="F68" s="4">
        <f>ROUND(Source!AO64,O68)</f>
        <v>0</v>
      </c>
      <c r="G68" s="4" t="s">
        <v>217</v>
      </c>
      <c r="H68" s="4" t="s">
        <v>218</v>
      </c>
      <c r="I68" s="4"/>
      <c r="J68" s="4"/>
      <c r="K68" s="4">
        <v>222</v>
      </c>
      <c r="L68" s="4">
        <v>3</v>
      </c>
      <c r="M68" s="4">
        <v>3</v>
      </c>
      <c r="N68" s="4" t="s">
        <v>6</v>
      </c>
      <c r="O68" s="4">
        <v>2</v>
      </c>
      <c r="P68" s="4"/>
    </row>
    <row r="69" spans="1:16" ht="12.75">
      <c r="A69" s="4">
        <v>50</v>
      </c>
      <c r="B69" s="4">
        <v>0</v>
      </c>
      <c r="C69" s="4">
        <v>0</v>
      </c>
      <c r="D69" s="4">
        <v>1</v>
      </c>
      <c r="E69" s="4">
        <v>225</v>
      </c>
      <c r="F69" s="4">
        <f>ROUND(Source!AV64,O69)</f>
        <v>91197.28</v>
      </c>
      <c r="G69" s="4" t="s">
        <v>219</v>
      </c>
      <c r="H69" s="4" t="s">
        <v>220</v>
      </c>
      <c r="I69" s="4"/>
      <c r="J69" s="4"/>
      <c r="K69" s="4">
        <v>225</v>
      </c>
      <c r="L69" s="4">
        <v>4</v>
      </c>
      <c r="M69" s="4">
        <v>3</v>
      </c>
      <c r="N69" s="4" t="s">
        <v>6</v>
      </c>
      <c r="O69" s="4">
        <v>2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226</v>
      </c>
      <c r="F70" s="4">
        <f>ROUND(Source!AW64,O70)</f>
        <v>91197.28</v>
      </c>
      <c r="G70" s="4" t="s">
        <v>221</v>
      </c>
      <c r="H70" s="4" t="s">
        <v>222</v>
      </c>
      <c r="I70" s="4"/>
      <c r="J70" s="4"/>
      <c r="K70" s="4">
        <v>226</v>
      </c>
      <c r="L70" s="4">
        <v>5</v>
      </c>
      <c r="M70" s="4">
        <v>3</v>
      </c>
      <c r="N70" s="4" t="s">
        <v>6</v>
      </c>
      <c r="O70" s="4">
        <v>2</v>
      </c>
      <c r="P70" s="4"/>
    </row>
    <row r="71" spans="1:16" ht="12.75">
      <c r="A71" s="4">
        <v>50</v>
      </c>
      <c r="B71" s="4">
        <v>0</v>
      </c>
      <c r="C71" s="4">
        <v>0</v>
      </c>
      <c r="D71" s="4">
        <v>1</v>
      </c>
      <c r="E71" s="4">
        <v>227</v>
      </c>
      <c r="F71" s="4">
        <f>ROUND(Source!AX64,O71)</f>
        <v>0</v>
      </c>
      <c r="G71" s="4" t="s">
        <v>223</v>
      </c>
      <c r="H71" s="4" t="s">
        <v>224</v>
      </c>
      <c r="I71" s="4"/>
      <c r="J71" s="4"/>
      <c r="K71" s="4">
        <v>227</v>
      </c>
      <c r="L71" s="4">
        <v>6</v>
      </c>
      <c r="M71" s="4">
        <v>3</v>
      </c>
      <c r="N71" s="4" t="s">
        <v>6</v>
      </c>
      <c r="O71" s="4">
        <v>2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228</v>
      </c>
      <c r="F72" s="4">
        <f>ROUND(Source!AY64,O72)</f>
        <v>91197.28</v>
      </c>
      <c r="G72" s="4" t="s">
        <v>225</v>
      </c>
      <c r="H72" s="4" t="s">
        <v>226</v>
      </c>
      <c r="I72" s="4"/>
      <c r="J72" s="4"/>
      <c r="K72" s="4">
        <v>228</v>
      </c>
      <c r="L72" s="4">
        <v>7</v>
      </c>
      <c r="M72" s="4">
        <v>3</v>
      </c>
      <c r="N72" s="4" t="s">
        <v>6</v>
      </c>
      <c r="O72" s="4">
        <v>2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216</v>
      </c>
      <c r="F73" s="4">
        <f>ROUND(Source!AP64,O73)</f>
        <v>0</v>
      </c>
      <c r="G73" s="4" t="s">
        <v>227</v>
      </c>
      <c r="H73" s="4" t="s">
        <v>228</v>
      </c>
      <c r="I73" s="4"/>
      <c r="J73" s="4"/>
      <c r="K73" s="4">
        <v>216</v>
      </c>
      <c r="L73" s="4">
        <v>8</v>
      </c>
      <c r="M73" s="4">
        <v>3</v>
      </c>
      <c r="N73" s="4" t="s">
        <v>6</v>
      </c>
      <c r="O73" s="4">
        <v>2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223</v>
      </c>
      <c r="F74" s="4">
        <f>ROUND(Source!AQ64,O74)</f>
        <v>0</v>
      </c>
      <c r="G74" s="4" t="s">
        <v>229</v>
      </c>
      <c r="H74" s="4" t="s">
        <v>230</v>
      </c>
      <c r="I74" s="4"/>
      <c r="J74" s="4"/>
      <c r="K74" s="4">
        <v>223</v>
      </c>
      <c r="L74" s="4">
        <v>9</v>
      </c>
      <c r="M74" s="4">
        <v>3</v>
      </c>
      <c r="N74" s="4" t="s">
        <v>6</v>
      </c>
      <c r="O74" s="4">
        <v>2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229</v>
      </c>
      <c r="F75" s="4">
        <f>ROUND(Source!AZ64,O75)</f>
        <v>0</v>
      </c>
      <c r="G75" s="4" t="s">
        <v>231</v>
      </c>
      <c r="H75" s="4" t="s">
        <v>232</v>
      </c>
      <c r="I75" s="4"/>
      <c r="J75" s="4"/>
      <c r="K75" s="4">
        <v>229</v>
      </c>
      <c r="L75" s="4">
        <v>10</v>
      </c>
      <c r="M75" s="4">
        <v>3</v>
      </c>
      <c r="N75" s="4" t="s">
        <v>6</v>
      </c>
      <c r="O75" s="4">
        <v>2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203</v>
      </c>
      <c r="F76" s="4">
        <f>ROUND(Source!Q64,O76)</f>
        <v>1904.25</v>
      </c>
      <c r="G76" s="4" t="s">
        <v>233</v>
      </c>
      <c r="H76" s="4" t="s">
        <v>234</v>
      </c>
      <c r="I76" s="4"/>
      <c r="J76" s="4"/>
      <c r="K76" s="4">
        <v>203</v>
      </c>
      <c r="L76" s="4">
        <v>11</v>
      </c>
      <c r="M76" s="4">
        <v>3</v>
      </c>
      <c r="N76" s="4" t="s">
        <v>6</v>
      </c>
      <c r="O76" s="4">
        <v>2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204</v>
      </c>
      <c r="F77" s="4">
        <f>ROUND(Source!R64,O77)</f>
        <v>455.32</v>
      </c>
      <c r="G77" s="4" t="s">
        <v>235</v>
      </c>
      <c r="H77" s="4" t="s">
        <v>236</v>
      </c>
      <c r="I77" s="4"/>
      <c r="J77" s="4"/>
      <c r="K77" s="4">
        <v>204</v>
      </c>
      <c r="L77" s="4">
        <v>12</v>
      </c>
      <c r="M77" s="4">
        <v>3</v>
      </c>
      <c r="N77" s="4" t="s">
        <v>6</v>
      </c>
      <c r="O77" s="4">
        <v>2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205</v>
      </c>
      <c r="F78" s="4">
        <f>ROUND(Source!S64,O78)</f>
        <v>38075.64</v>
      </c>
      <c r="G78" s="4" t="s">
        <v>237</v>
      </c>
      <c r="H78" s="4" t="s">
        <v>238</v>
      </c>
      <c r="I78" s="4"/>
      <c r="J78" s="4"/>
      <c r="K78" s="4">
        <v>205</v>
      </c>
      <c r="L78" s="4">
        <v>13</v>
      </c>
      <c r="M78" s="4">
        <v>3</v>
      </c>
      <c r="N78" s="4" t="s">
        <v>6</v>
      </c>
      <c r="O78" s="4">
        <v>2</v>
      </c>
      <c r="P78" s="4"/>
    </row>
    <row r="79" spans="1:16" ht="12.75">
      <c r="A79" s="4">
        <v>50</v>
      </c>
      <c r="B79" s="4">
        <v>0</v>
      </c>
      <c r="C79" s="4">
        <v>0</v>
      </c>
      <c r="D79" s="4">
        <v>1</v>
      </c>
      <c r="E79" s="4">
        <v>214</v>
      </c>
      <c r="F79" s="4">
        <f>ROUND(Source!AS64,O79)</f>
        <v>178674.35</v>
      </c>
      <c r="G79" s="4" t="s">
        <v>239</v>
      </c>
      <c r="H79" s="4" t="s">
        <v>240</v>
      </c>
      <c r="I79" s="4"/>
      <c r="J79" s="4"/>
      <c r="K79" s="4">
        <v>214</v>
      </c>
      <c r="L79" s="4">
        <v>14</v>
      </c>
      <c r="M79" s="4">
        <v>3</v>
      </c>
      <c r="N79" s="4" t="s">
        <v>6</v>
      </c>
      <c r="O79" s="4">
        <v>2</v>
      </c>
      <c r="P79" s="4"/>
    </row>
    <row r="80" spans="1:16" ht="12.75">
      <c r="A80" s="4">
        <v>50</v>
      </c>
      <c r="B80" s="4">
        <v>0</v>
      </c>
      <c r="C80" s="4">
        <v>0</v>
      </c>
      <c r="D80" s="4">
        <v>1</v>
      </c>
      <c r="E80" s="4">
        <v>215</v>
      </c>
      <c r="F80" s="4">
        <f>ROUND(Source!AT64,O80)</f>
        <v>1087.74</v>
      </c>
      <c r="G80" s="4" t="s">
        <v>241</v>
      </c>
      <c r="H80" s="4" t="s">
        <v>242</v>
      </c>
      <c r="I80" s="4"/>
      <c r="J80" s="4"/>
      <c r="K80" s="4">
        <v>215</v>
      </c>
      <c r="L80" s="4">
        <v>15</v>
      </c>
      <c r="M80" s="4">
        <v>3</v>
      </c>
      <c r="N80" s="4" t="s">
        <v>6</v>
      </c>
      <c r="O80" s="4">
        <v>2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217</v>
      </c>
      <c r="F81" s="4">
        <f>ROUND(Source!AU64,O81)</f>
        <v>0</v>
      </c>
      <c r="G81" s="4" t="s">
        <v>243</v>
      </c>
      <c r="H81" s="4" t="s">
        <v>244</v>
      </c>
      <c r="I81" s="4"/>
      <c r="J81" s="4"/>
      <c r="K81" s="4">
        <v>217</v>
      </c>
      <c r="L81" s="4">
        <v>16</v>
      </c>
      <c r="M81" s="4">
        <v>3</v>
      </c>
      <c r="N81" s="4" t="s">
        <v>6</v>
      </c>
      <c r="O81" s="4">
        <v>2</v>
      </c>
      <c r="P81" s="4"/>
    </row>
    <row r="82" spans="1:16" ht="12.75">
      <c r="A82" s="4">
        <v>50</v>
      </c>
      <c r="B82" s="4">
        <v>0</v>
      </c>
      <c r="C82" s="4">
        <v>0</v>
      </c>
      <c r="D82" s="4">
        <v>1</v>
      </c>
      <c r="E82" s="4">
        <v>206</v>
      </c>
      <c r="F82" s="4">
        <f>ROUND(Source!T64,O82)</f>
        <v>0</v>
      </c>
      <c r="G82" s="4" t="s">
        <v>245</v>
      </c>
      <c r="H82" s="4" t="s">
        <v>246</v>
      </c>
      <c r="I82" s="4"/>
      <c r="J82" s="4"/>
      <c r="K82" s="4">
        <v>206</v>
      </c>
      <c r="L82" s="4">
        <v>17</v>
      </c>
      <c r="M82" s="4">
        <v>3</v>
      </c>
      <c r="N82" s="4" t="s">
        <v>6</v>
      </c>
      <c r="O82" s="4">
        <v>2</v>
      </c>
      <c r="P82" s="4"/>
    </row>
    <row r="83" spans="1:16" ht="12.75">
      <c r="A83" s="4">
        <v>50</v>
      </c>
      <c r="B83" s="4">
        <v>0</v>
      </c>
      <c r="C83" s="4">
        <v>0</v>
      </c>
      <c r="D83" s="4">
        <v>1</v>
      </c>
      <c r="E83" s="4">
        <v>207</v>
      </c>
      <c r="F83" s="4">
        <f>Source!U64</f>
        <v>129.99680700000002</v>
      </c>
      <c r="G83" s="4" t="s">
        <v>247</v>
      </c>
      <c r="H83" s="4" t="s">
        <v>248</v>
      </c>
      <c r="I83" s="4"/>
      <c r="J83" s="4"/>
      <c r="K83" s="4">
        <v>207</v>
      </c>
      <c r="L83" s="4">
        <v>18</v>
      </c>
      <c r="M83" s="4">
        <v>3</v>
      </c>
      <c r="N83" s="4" t="s">
        <v>6</v>
      </c>
      <c r="O83" s="4">
        <v>-1</v>
      </c>
      <c r="P83" s="4"/>
    </row>
    <row r="84" spans="1:16" ht="12.75">
      <c r="A84" s="4">
        <v>50</v>
      </c>
      <c r="B84" s="4">
        <v>0</v>
      </c>
      <c r="C84" s="4">
        <v>0</v>
      </c>
      <c r="D84" s="4">
        <v>1</v>
      </c>
      <c r="E84" s="4">
        <v>208</v>
      </c>
      <c r="F84" s="4">
        <f>Source!V64</f>
        <v>1.2257624999999999</v>
      </c>
      <c r="G84" s="4" t="s">
        <v>249</v>
      </c>
      <c r="H84" s="4" t="s">
        <v>250</v>
      </c>
      <c r="I84" s="4"/>
      <c r="J84" s="4"/>
      <c r="K84" s="4">
        <v>208</v>
      </c>
      <c r="L84" s="4">
        <v>19</v>
      </c>
      <c r="M84" s="4">
        <v>3</v>
      </c>
      <c r="N84" s="4" t="s">
        <v>6</v>
      </c>
      <c r="O84" s="4">
        <v>-1</v>
      </c>
      <c r="P84" s="4"/>
    </row>
    <row r="85" spans="1:16" ht="12.75">
      <c r="A85" s="4">
        <v>50</v>
      </c>
      <c r="B85" s="4">
        <v>0</v>
      </c>
      <c r="C85" s="4">
        <v>0</v>
      </c>
      <c r="D85" s="4">
        <v>1</v>
      </c>
      <c r="E85" s="4">
        <v>209</v>
      </c>
      <c r="F85" s="4">
        <f>ROUND(Source!W64,O85)</f>
        <v>9.56</v>
      </c>
      <c r="G85" s="4" t="s">
        <v>251</v>
      </c>
      <c r="H85" s="4" t="s">
        <v>252</v>
      </c>
      <c r="I85" s="4"/>
      <c r="J85" s="4"/>
      <c r="K85" s="4">
        <v>209</v>
      </c>
      <c r="L85" s="4">
        <v>20</v>
      </c>
      <c r="M85" s="4">
        <v>3</v>
      </c>
      <c r="N85" s="4" t="s">
        <v>6</v>
      </c>
      <c r="O85" s="4">
        <v>2</v>
      </c>
      <c r="P85" s="4"/>
    </row>
    <row r="86" spans="1:16" ht="12.75">
      <c r="A86" s="4">
        <v>50</v>
      </c>
      <c r="B86" s="4">
        <v>0</v>
      </c>
      <c r="C86" s="4">
        <v>0</v>
      </c>
      <c r="D86" s="4">
        <v>1</v>
      </c>
      <c r="E86" s="4">
        <v>210</v>
      </c>
      <c r="F86" s="4">
        <f>ROUND(Source!X64,O86)</f>
        <v>28406.63</v>
      </c>
      <c r="G86" s="4" t="s">
        <v>253</v>
      </c>
      <c r="H86" s="4" t="s">
        <v>254</v>
      </c>
      <c r="I86" s="4"/>
      <c r="J86" s="4"/>
      <c r="K86" s="4">
        <v>210</v>
      </c>
      <c r="L86" s="4">
        <v>21</v>
      </c>
      <c r="M86" s="4">
        <v>3</v>
      </c>
      <c r="N86" s="4" t="s">
        <v>6</v>
      </c>
      <c r="O86" s="4">
        <v>2</v>
      </c>
      <c r="P86" s="4"/>
    </row>
    <row r="87" spans="1:16" ht="12.75">
      <c r="A87" s="4">
        <v>50</v>
      </c>
      <c r="B87" s="4">
        <v>0</v>
      </c>
      <c r="C87" s="4">
        <v>0</v>
      </c>
      <c r="D87" s="4">
        <v>1</v>
      </c>
      <c r="E87" s="4">
        <v>211</v>
      </c>
      <c r="F87" s="4">
        <f>ROUND(Source!Y64,O87)</f>
        <v>20178.29</v>
      </c>
      <c r="G87" s="4" t="s">
        <v>255</v>
      </c>
      <c r="H87" s="4" t="s">
        <v>256</v>
      </c>
      <c r="I87" s="4"/>
      <c r="J87" s="4"/>
      <c r="K87" s="4">
        <v>211</v>
      </c>
      <c r="L87" s="4">
        <v>22</v>
      </c>
      <c r="M87" s="4">
        <v>3</v>
      </c>
      <c r="N87" s="4" t="s">
        <v>6</v>
      </c>
      <c r="O87" s="4">
        <v>2</v>
      </c>
      <c r="P87" s="4"/>
    </row>
    <row r="88" spans="1:16" ht="12.75">
      <c r="A88" s="4">
        <v>50</v>
      </c>
      <c r="B88" s="4">
        <v>0</v>
      </c>
      <c r="C88" s="4">
        <v>0</v>
      </c>
      <c r="D88" s="4">
        <v>1</v>
      </c>
      <c r="E88" s="4">
        <v>224</v>
      </c>
      <c r="F88" s="4">
        <f>ROUND(Source!AR64,O88)</f>
        <v>179762.09</v>
      </c>
      <c r="G88" s="4" t="s">
        <v>257</v>
      </c>
      <c r="H88" s="4" t="s">
        <v>258</v>
      </c>
      <c r="I88" s="4"/>
      <c r="J88" s="4"/>
      <c r="K88" s="4">
        <v>224</v>
      </c>
      <c r="L88" s="4">
        <v>23</v>
      </c>
      <c r="M88" s="4">
        <v>3</v>
      </c>
      <c r="N88" s="4" t="s">
        <v>6</v>
      </c>
      <c r="O88" s="4">
        <v>2</v>
      </c>
      <c r="P88" s="4"/>
    </row>
    <row r="89" spans="1:16" ht="12.75">
      <c r="A89" s="4">
        <v>50</v>
      </c>
      <c r="B89" s="4">
        <v>1</v>
      </c>
      <c r="C89" s="4">
        <v>0</v>
      </c>
      <c r="D89" s="4">
        <v>2</v>
      </c>
      <c r="E89" s="4">
        <v>0</v>
      </c>
      <c r="F89" s="4">
        <f>ROUND(F66+F86+F87,O89)</f>
        <v>179762.09</v>
      </c>
      <c r="G89" s="4" t="s">
        <v>259</v>
      </c>
      <c r="H89" s="4" t="s">
        <v>260</v>
      </c>
      <c r="I89" s="4"/>
      <c r="J89" s="4"/>
      <c r="K89" s="4">
        <v>212</v>
      </c>
      <c r="L89" s="4">
        <v>24</v>
      </c>
      <c r="M89" s="4">
        <v>0</v>
      </c>
      <c r="N89" s="4" t="s">
        <v>6</v>
      </c>
      <c r="O89" s="4">
        <v>2</v>
      </c>
      <c r="P89" s="4"/>
    </row>
    <row r="90" spans="1:16" ht="12.75">
      <c r="A90" s="4">
        <v>50</v>
      </c>
      <c r="B90" s="4">
        <v>1</v>
      </c>
      <c r="C90" s="4">
        <v>0</v>
      </c>
      <c r="D90" s="4">
        <v>2</v>
      </c>
      <c r="E90" s="4">
        <v>0</v>
      </c>
      <c r="F90" s="4">
        <f>ROUND((F67+(F76-F77)+F86*0.1932+F87*0.15)*20/F89,O90)</f>
        <v>11.25</v>
      </c>
      <c r="G90" s="4" t="s">
        <v>261</v>
      </c>
      <c r="H90" s="4" t="s">
        <v>262</v>
      </c>
      <c r="I90" s="4"/>
      <c r="J90" s="4"/>
      <c r="K90" s="4">
        <v>212</v>
      </c>
      <c r="L90" s="4">
        <v>25</v>
      </c>
      <c r="M90" s="4">
        <v>0</v>
      </c>
      <c r="N90" s="4" t="s">
        <v>6</v>
      </c>
      <c r="O90" s="4">
        <v>2</v>
      </c>
      <c r="P90" s="4"/>
    </row>
    <row r="91" spans="1:16" ht="12.75">
      <c r="A91" s="4">
        <v>50</v>
      </c>
      <c r="B91" s="4">
        <v>1</v>
      </c>
      <c r="C91" s="4">
        <v>0</v>
      </c>
      <c r="D91" s="4">
        <v>2</v>
      </c>
      <c r="E91" s="4">
        <v>0</v>
      </c>
      <c r="F91" s="4">
        <f>ROUND(F90/100*F89,O91)</f>
        <v>20223.24</v>
      </c>
      <c r="G91" s="4" t="s">
        <v>263</v>
      </c>
      <c r="H91" s="4" t="s">
        <v>264</v>
      </c>
      <c r="I91" s="4"/>
      <c r="J91" s="4"/>
      <c r="K91" s="4">
        <v>212</v>
      </c>
      <c r="L91" s="4">
        <v>26</v>
      </c>
      <c r="M91" s="4">
        <v>0</v>
      </c>
      <c r="N91" s="4" t="s">
        <v>6</v>
      </c>
      <c r="O91" s="4">
        <v>2</v>
      </c>
      <c r="P91" s="4"/>
    </row>
    <row r="92" spans="1:16" ht="12.75">
      <c r="A92" s="4">
        <v>50</v>
      </c>
      <c r="B92" s="4">
        <v>1</v>
      </c>
      <c r="C92" s="4">
        <v>0</v>
      </c>
      <c r="D92" s="4">
        <v>2</v>
      </c>
      <c r="E92" s="4">
        <v>213</v>
      </c>
      <c r="F92" s="4">
        <f>ROUND(F89+F91,O92)</f>
        <v>199985.33</v>
      </c>
      <c r="G92" s="4" t="s">
        <v>265</v>
      </c>
      <c r="H92" s="4" t="s">
        <v>257</v>
      </c>
      <c r="I92" s="4"/>
      <c r="J92" s="4"/>
      <c r="K92" s="4">
        <v>212</v>
      </c>
      <c r="L92" s="4">
        <v>27</v>
      </c>
      <c r="M92" s="4">
        <v>0</v>
      </c>
      <c r="N92" s="4" t="s">
        <v>6</v>
      </c>
      <c r="O92" s="4">
        <v>2</v>
      </c>
      <c r="P92" s="4"/>
    </row>
    <row r="94" spans="1:118" ht="12.75">
      <c r="A94" s="2">
        <v>51</v>
      </c>
      <c r="B94" s="2">
        <f>B12</f>
        <v>153</v>
      </c>
      <c r="C94" s="2">
        <f>A12</f>
        <v>1</v>
      </c>
      <c r="D94" s="2">
        <f>ROW(A12)</f>
        <v>12</v>
      </c>
      <c r="E94" s="2"/>
      <c r="F94" s="2" t="str">
        <f>IF(F12&lt;&gt;"",F12,"")</f>
        <v>Новый объект</v>
      </c>
      <c r="G94" s="2" t="str">
        <f>IF(G12&lt;&gt;"",G12,"")</f>
        <v>ДМШ № 2-ремонт  помещений-2020г (УСН)</v>
      </c>
      <c r="H94" s="2"/>
      <c r="I94" s="2"/>
      <c r="J94" s="2"/>
      <c r="K94" s="2"/>
      <c r="L94" s="2"/>
      <c r="M94" s="2"/>
      <c r="N94" s="2"/>
      <c r="O94" s="2">
        <f aca="true" t="shared" si="47" ref="O94:T94">ROUND(O64,2)</f>
        <v>131177.17</v>
      </c>
      <c r="P94" s="2">
        <f t="shared" si="47"/>
        <v>91197.28</v>
      </c>
      <c r="Q94" s="2">
        <f t="shared" si="47"/>
        <v>1904.25</v>
      </c>
      <c r="R94" s="2">
        <f t="shared" si="47"/>
        <v>455.32</v>
      </c>
      <c r="S94" s="2">
        <f t="shared" si="47"/>
        <v>38075.64</v>
      </c>
      <c r="T94" s="2">
        <f t="shared" si="47"/>
        <v>0</v>
      </c>
      <c r="U94" s="2">
        <f>U64</f>
        <v>129.99680700000002</v>
      </c>
      <c r="V94" s="2">
        <f>V64</f>
        <v>1.2257624999999999</v>
      </c>
      <c r="W94" s="2">
        <f>ROUND(W64,2)</f>
        <v>9.56</v>
      </c>
      <c r="X94" s="2">
        <f>ROUND(X64,2)</f>
        <v>28406.63</v>
      </c>
      <c r="Y94" s="2">
        <f>ROUND(Y64,2)</f>
        <v>20178.29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>
        <f aca="true" t="shared" si="48" ref="AO94:AZ94">ROUND(AO64,2)</f>
        <v>0</v>
      </c>
      <c r="AP94" s="2">
        <f t="shared" si="48"/>
        <v>0</v>
      </c>
      <c r="AQ94" s="2">
        <f t="shared" si="48"/>
        <v>0</v>
      </c>
      <c r="AR94" s="2">
        <f t="shared" si="48"/>
        <v>179762.09</v>
      </c>
      <c r="AS94" s="2">
        <f t="shared" si="48"/>
        <v>178674.35</v>
      </c>
      <c r="AT94" s="2">
        <f t="shared" si="48"/>
        <v>1087.74</v>
      </c>
      <c r="AU94" s="2">
        <f t="shared" si="48"/>
        <v>0</v>
      </c>
      <c r="AV94" s="2">
        <f t="shared" si="48"/>
        <v>91197.28</v>
      </c>
      <c r="AW94" s="2">
        <f t="shared" si="48"/>
        <v>91197.28</v>
      </c>
      <c r="AX94" s="2">
        <f t="shared" si="48"/>
        <v>0</v>
      </c>
      <c r="AY94" s="2">
        <f t="shared" si="48"/>
        <v>91197.28</v>
      </c>
      <c r="AZ94" s="2">
        <f t="shared" si="48"/>
        <v>0</v>
      </c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>
        <v>0</v>
      </c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201</v>
      </c>
      <c r="F96" s="4">
        <f>ROUND(Source!O94,O96)</f>
        <v>131177.17</v>
      </c>
      <c r="G96" s="4" t="s">
        <v>213</v>
      </c>
      <c r="H96" s="4" t="s">
        <v>214</v>
      </c>
      <c r="I96" s="4"/>
      <c r="J96" s="4"/>
      <c r="K96" s="4">
        <v>201</v>
      </c>
      <c r="L96" s="4">
        <v>1</v>
      </c>
      <c r="M96" s="4">
        <v>3</v>
      </c>
      <c r="N96" s="4" t="s">
        <v>6</v>
      </c>
      <c r="O96" s="4">
        <v>2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202</v>
      </c>
      <c r="F97" s="4">
        <f>ROUND(Source!P94,O97)</f>
        <v>91197.28</v>
      </c>
      <c r="G97" s="4" t="s">
        <v>215</v>
      </c>
      <c r="H97" s="4" t="s">
        <v>216</v>
      </c>
      <c r="I97" s="4"/>
      <c r="J97" s="4"/>
      <c r="K97" s="4">
        <v>202</v>
      </c>
      <c r="L97" s="4">
        <v>2</v>
      </c>
      <c r="M97" s="4">
        <v>3</v>
      </c>
      <c r="N97" s="4" t="s">
        <v>6</v>
      </c>
      <c r="O97" s="4">
        <v>2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222</v>
      </c>
      <c r="F98" s="4">
        <f>ROUND(Source!AO94,O98)</f>
        <v>0</v>
      </c>
      <c r="G98" s="4" t="s">
        <v>217</v>
      </c>
      <c r="H98" s="4" t="s">
        <v>218</v>
      </c>
      <c r="I98" s="4"/>
      <c r="J98" s="4"/>
      <c r="K98" s="4">
        <v>222</v>
      </c>
      <c r="L98" s="4">
        <v>3</v>
      </c>
      <c r="M98" s="4">
        <v>3</v>
      </c>
      <c r="N98" s="4" t="s">
        <v>6</v>
      </c>
      <c r="O98" s="4">
        <v>2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225</v>
      </c>
      <c r="F99" s="4">
        <f>ROUND(Source!AV94,O99)</f>
        <v>91197.28</v>
      </c>
      <c r="G99" s="4" t="s">
        <v>219</v>
      </c>
      <c r="H99" s="4" t="s">
        <v>220</v>
      </c>
      <c r="I99" s="4"/>
      <c r="J99" s="4"/>
      <c r="K99" s="4">
        <v>225</v>
      </c>
      <c r="L99" s="4">
        <v>4</v>
      </c>
      <c r="M99" s="4">
        <v>3</v>
      </c>
      <c r="N99" s="4" t="s">
        <v>6</v>
      </c>
      <c r="O99" s="4">
        <v>2</v>
      </c>
      <c r="P99" s="4"/>
    </row>
    <row r="100" spans="1:16" ht="12.75">
      <c r="A100" s="4">
        <v>50</v>
      </c>
      <c r="B100" s="4">
        <v>0</v>
      </c>
      <c r="C100" s="4">
        <v>0</v>
      </c>
      <c r="D100" s="4">
        <v>1</v>
      </c>
      <c r="E100" s="4">
        <v>226</v>
      </c>
      <c r="F100" s="4">
        <f>ROUND(Source!AW94,O100)</f>
        <v>91197.28</v>
      </c>
      <c r="G100" s="4" t="s">
        <v>221</v>
      </c>
      <c r="H100" s="4" t="s">
        <v>222</v>
      </c>
      <c r="I100" s="4"/>
      <c r="J100" s="4"/>
      <c r="K100" s="4">
        <v>226</v>
      </c>
      <c r="L100" s="4">
        <v>5</v>
      </c>
      <c r="M100" s="4">
        <v>3</v>
      </c>
      <c r="N100" s="4" t="s">
        <v>6</v>
      </c>
      <c r="O100" s="4">
        <v>2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227</v>
      </c>
      <c r="F101" s="4">
        <f>ROUND(Source!AX94,O101)</f>
        <v>0</v>
      </c>
      <c r="G101" s="4" t="s">
        <v>223</v>
      </c>
      <c r="H101" s="4" t="s">
        <v>224</v>
      </c>
      <c r="I101" s="4"/>
      <c r="J101" s="4"/>
      <c r="K101" s="4">
        <v>227</v>
      </c>
      <c r="L101" s="4">
        <v>6</v>
      </c>
      <c r="M101" s="4">
        <v>3</v>
      </c>
      <c r="N101" s="4" t="s">
        <v>6</v>
      </c>
      <c r="O101" s="4">
        <v>2</v>
      </c>
      <c r="P101" s="4"/>
    </row>
    <row r="102" spans="1:16" ht="12.75">
      <c r="A102" s="4">
        <v>50</v>
      </c>
      <c r="B102" s="4">
        <v>0</v>
      </c>
      <c r="C102" s="4">
        <v>0</v>
      </c>
      <c r="D102" s="4">
        <v>1</v>
      </c>
      <c r="E102" s="4">
        <v>228</v>
      </c>
      <c r="F102" s="4">
        <f>ROUND(Source!AY94,O102)</f>
        <v>91197.28</v>
      </c>
      <c r="G102" s="4" t="s">
        <v>225</v>
      </c>
      <c r="H102" s="4" t="s">
        <v>226</v>
      </c>
      <c r="I102" s="4"/>
      <c r="J102" s="4"/>
      <c r="K102" s="4">
        <v>228</v>
      </c>
      <c r="L102" s="4">
        <v>7</v>
      </c>
      <c r="M102" s="4">
        <v>3</v>
      </c>
      <c r="N102" s="4" t="s">
        <v>6</v>
      </c>
      <c r="O102" s="4">
        <v>2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216</v>
      </c>
      <c r="F103" s="4">
        <f>ROUND(Source!AP94,O103)</f>
        <v>0</v>
      </c>
      <c r="G103" s="4" t="s">
        <v>227</v>
      </c>
      <c r="H103" s="4" t="s">
        <v>228</v>
      </c>
      <c r="I103" s="4"/>
      <c r="J103" s="4"/>
      <c r="K103" s="4">
        <v>216</v>
      </c>
      <c r="L103" s="4">
        <v>8</v>
      </c>
      <c r="M103" s="4">
        <v>3</v>
      </c>
      <c r="N103" s="4" t="s">
        <v>6</v>
      </c>
      <c r="O103" s="4">
        <v>2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223</v>
      </c>
      <c r="F104" s="4">
        <f>ROUND(Source!AQ94,O104)</f>
        <v>0</v>
      </c>
      <c r="G104" s="4" t="s">
        <v>229</v>
      </c>
      <c r="H104" s="4" t="s">
        <v>230</v>
      </c>
      <c r="I104" s="4"/>
      <c r="J104" s="4"/>
      <c r="K104" s="4">
        <v>223</v>
      </c>
      <c r="L104" s="4">
        <v>9</v>
      </c>
      <c r="M104" s="4">
        <v>3</v>
      </c>
      <c r="N104" s="4" t="s">
        <v>6</v>
      </c>
      <c r="O104" s="4">
        <v>2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229</v>
      </c>
      <c r="F105" s="4">
        <f>ROUND(Source!AZ94,O105)</f>
        <v>0</v>
      </c>
      <c r="G105" s="4" t="s">
        <v>231</v>
      </c>
      <c r="H105" s="4" t="s">
        <v>232</v>
      </c>
      <c r="I105" s="4"/>
      <c r="J105" s="4"/>
      <c r="K105" s="4">
        <v>229</v>
      </c>
      <c r="L105" s="4">
        <v>10</v>
      </c>
      <c r="M105" s="4">
        <v>3</v>
      </c>
      <c r="N105" s="4" t="s">
        <v>6</v>
      </c>
      <c r="O105" s="4">
        <v>2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203</v>
      </c>
      <c r="F106" s="4">
        <f>ROUND(Source!Q94,O106)</f>
        <v>1904.25</v>
      </c>
      <c r="G106" s="4" t="s">
        <v>233</v>
      </c>
      <c r="H106" s="4" t="s">
        <v>234</v>
      </c>
      <c r="I106" s="4"/>
      <c r="J106" s="4"/>
      <c r="K106" s="4">
        <v>203</v>
      </c>
      <c r="L106" s="4">
        <v>11</v>
      </c>
      <c r="M106" s="4">
        <v>3</v>
      </c>
      <c r="N106" s="4" t="s">
        <v>6</v>
      </c>
      <c r="O106" s="4">
        <v>2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204</v>
      </c>
      <c r="F107" s="4">
        <f>ROUND(Source!R94,O107)</f>
        <v>455.32</v>
      </c>
      <c r="G107" s="4" t="s">
        <v>235</v>
      </c>
      <c r="H107" s="4" t="s">
        <v>236</v>
      </c>
      <c r="I107" s="4"/>
      <c r="J107" s="4"/>
      <c r="K107" s="4">
        <v>204</v>
      </c>
      <c r="L107" s="4">
        <v>12</v>
      </c>
      <c r="M107" s="4">
        <v>3</v>
      </c>
      <c r="N107" s="4" t="s">
        <v>6</v>
      </c>
      <c r="O107" s="4">
        <v>2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205</v>
      </c>
      <c r="F108" s="4">
        <f>ROUND(Source!S94,O108)</f>
        <v>38075.64</v>
      </c>
      <c r="G108" s="4" t="s">
        <v>237</v>
      </c>
      <c r="H108" s="4" t="s">
        <v>238</v>
      </c>
      <c r="I108" s="4"/>
      <c r="J108" s="4"/>
      <c r="K108" s="4">
        <v>205</v>
      </c>
      <c r="L108" s="4">
        <v>13</v>
      </c>
      <c r="M108" s="4">
        <v>3</v>
      </c>
      <c r="N108" s="4" t="s">
        <v>6</v>
      </c>
      <c r="O108" s="4">
        <v>2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214</v>
      </c>
      <c r="F109" s="4">
        <f>ROUND(Source!AS94,O109)</f>
        <v>178674.35</v>
      </c>
      <c r="G109" s="4" t="s">
        <v>239</v>
      </c>
      <c r="H109" s="4" t="s">
        <v>240</v>
      </c>
      <c r="I109" s="4"/>
      <c r="J109" s="4"/>
      <c r="K109" s="4">
        <v>214</v>
      </c>
      <c r="L109" s="4">
        <v>14</v>
      </c>
      <c r="M109" s="4">
        <v>3</v>
      </c>
      <c r="N109" s="4" t="s">
        <v>6</v>
      </c>
      <c r="O109" s="4">
        <v>2</v>
      </c>
      <c r="P109" s="4"/>
    </row>
    <row r="110" spans="1:16" ht="12.75">
      <c r="A110" s="4">
        <v>50</v>
      </c>
      <c r="B110" s="4">
        <v>0</v>
      </c>
      <c r="C110" s="4">
        <v>0</v>
      </c>
      <c r="D110" s="4">
        <v>1</v>
      </c>
      <c r="E110" s="4">
        <v>215</v>
      </c>
      <c r="F110" s="4">
        <f>ROUND(Source!AT94,O110)</f>
        <v>1087.74</v>
      </c>
      <c r="G110" s="4" t="s">
        <v>241</v>
      </c>
      <c r="H110" s="4" t="s">
        <v>242</v>
      </c>
      <c r="I110" s="4"/>
      <c r="J110" s="4"/>
      <c r="K110" s="4">
        <v>215</v>
      </c>
      <c r="L110" s="4">
        <v>15</v>
      </c>
      <c r="M110" s="4">
        <v>3</v>
      </c>
      <c r="N110" s="4" t="s">
        <v>6</v>
      </c>
      <c r="O110" s="4">
        <v>2</v>
      </c>
      <c r="P110" s="4"/>
    </row>
    <row r="111" spans="1:16" ht="12.75">
      <c r="A111" s="4">
        <v>50</v>
      </c>
      <c r="B111" s="4">
        <v>0</v>
      </c>
      <c r="C111" s="4">
        <v>0</v>
      </c>
      <c r="D111" s="4">
        <v>1</v>
      </c>
      <c r="E111" s="4">
        <v>217</v>
      </c>
      <c r="F111" s="4">
        <f>ROUND(Source!AU94,O111)</f>
        <v>0</v>
      </c>
      <c r="G111" s="4" t="s">
        <v>243</v>
      </c>
      <c r="H111" s="4" t="s">
        <v>244</v>
      </c>
      <c r="I111" s="4"/>
      <c r="J111" s="4"/>
      <c r="K111" s="4">
        <v>217</v>
      </c>
      <c r="L111" s="4">
        <v>16</v>
      </c>
      <c r="M111" s="4">
        <v>3</v>
      </c>
      <c r="N111" s="4" t="s">
        <v>6</v>
      </c>
      <c r="O111" s="4">
        <v>2</v>
      </c>
      <c r="P111" s="4"/>
    </row>
    <row r="112" spans="1:16" ht="12.75">
      <c r="A112" s="4">
        <v>50</v>
      </c>
      <c r="B112" s="4">
        <v>0</v>
      </c>
      <c r="C112" s="4">
        <v>0</v>
      </c>
      <c r="D112" s="4">
        <v>1</v>
      </c>
      <c r="E112" s="4">
        <v>206</v>
      </c>
      <c r="F112" s="4">
        <f>ROUND(Source!T94,O112)</f>
        <v>0</v>
      </c>
      <c r="G112" s="4" t="s">
        <v>245</v>
      </c>
      <c r="H112" s="4" t="s">
        <v>246</v>
      </c>
      <c r="I112" s="4"/>
      <c r="J112" s="4"/>
      <c r="K112" s="4">
        <v>206</v>
      </c>
      <c r="L112" s="4">
        <v>17</v>
      </c>
      <c r="M112" s="4">
        <v>3</v>
      </c>
      <c r="N112" s="4" t="s">
        <v>6</v>
      </c>
      <c r="O112" s="4">
        <v>2</v>
      </c>
      <c r="P112" s="4"/>
    </row>
    <row r="113" spans="1:16" ht="12.75">
      <c r="A113" s="4">
        <v>50</v>
      </c>
      <c r="B113" s="4">
        <v>0</v>
      </c>
      <c r="C113" s="4">
        <v>0</v>
      </c>
      <c r="D113" s="4">
        <v>1</v>
      </c>
      <c r="E113" s="4">
        <v>207</v>
      </c>
      <c r="F113" s="4">
        <f>Source!U94</f>
        <v>129.99680700000002</v>
      </c>
      <c r="G113" s="4" t="s">
        <v>247</v>
      </c>
      <c r="H113" s="4" t="s">
        <v>248</v>
      </c>
      <c r="I113" s="4"/>
      <c r="J113" s="4"/>
      <c r="K113" s="4">
        <v>207</v>
      </c>
      <c r="L113" s="4">
        <v>18</v>
      </c>
      <c r="M113" s="4">
        <v>3</v>
      </c>
      <c r="N113" s="4" t="s">
        <v>6</v>
      </c>
      <c r="O113" s="4">
        <v>-1</v>
      </c>
      <c r="P113" s="4"/>
    </row>
    <row r="114" spans="1:16" ht="12.75">
      <c r="A114" s="4">
        <v>50</v>
      </c>
      <c r="B114" s="4">
        <v>0</v>
      </c>
      <c r="C114" s="4">
        <v>0</v>
      </c>
      <c r="D114" s="4">
        <v>1</v>
      </c>
      <c r="E114" s="4">
        <v>208</v>
      </c>
      <c r="F114" s="4">
        <f>Source!V94</f>
        <v>1.2257624999999999</v>
      </c>
      <c r="G114" s="4" t="s">
        <v>249</v>
      </c>
      <c r="H114" s="4" t="s">
        <v>250</v>
      </c>
      <c r="I114" s="4"/>
      <c r="J114" s="4"/>
      <c r="K114" s="4">
        <v>208</v>
      </c>
      <c r="L114" s="4">
        <v>19</v>
      </c>
      <c r="M114" s="4">
        <v>3</v>
      </c>
      <c r="N114" s="4" t="s">
        <v>6</v>
      </c>
      <c r="O114" s="4">
        <v>-1</v>
      </c>
      <c r="P114" s="4"/>
    </row>
    <row r="115" spans="1:16" ht="12.75">
      <c r="A115" s="4">
        <v>50</v>
      </c>
      <c r="B115" s="4">
        <v>0</v>
      </c>
      <c r="C115" s="4">
        <v>0</v>
      </c>
      <c r="D115" s="4">
        <v>1</v>
      </c>
      <c r="E115" s="4">
        <v>209</v>
      </c>
      <c r="F115" s="4">
        <f>ROUND(Source!W94,O115)</f>
        <v>9.56</v>
      </c>
      <c r="G115" s="4" t="s">
        <v>251</v>
      </c>
      <c r="H115" s="4" t="s">
        <v>252</v>
      </c>
      <c r="I115" s="4"/>
      <c r="J115" s="4"/>
      <c r="K115" s="4">
        <v>209</v>
      </c>
      <c r="L115" s="4">
        <v>20</v>
      </c>
      <c r="M115" s="4">
        <v>3</v>
      </c>
      <c r="N115" s="4" t="s">
        <v>6</v>
      </c>
      <c r="O115" s="4">
        <v>2</v>
      </c>
      <c r="P115" s="4"/>
    </row>
    <row r="116" spans="1:16" ht="12.75">
      <c r="A116" s="4">
        <v>50</v>
      </c>
      <c r="B116" s="4">
        <v>0</v>
      </c>
      <c r="C116" s="4">
        <v>0</v>
      </c>
      <c r="D116" s="4">
        <v>1</v>
      </c>
      <c r="E116" s="4">
        <v>210</v>
      </c>
      <c r="F116" s="4">
        <f>ROUND(Source!X94,O116)</f>
        <v>28406.63</v>
      </c>
      <c r="G116" s="4" t="s">
        <v>253</v>
      </c>
      <c r="H116" s="4" t="s">
        <v>254</v>
      </c>
      <c r="I116" s="4"/>
      <c r="J116" s="4"/>
      <c r="K116" s="4">
        <v>210</v>
      </c>
      <c r="L116" s="4">
        <v>21</v>
      </c>
      <c r="M116" s="4">
        <v>3</v>
      </c>
      <c r="N116" s="4" t="s">
        <v>6</v>
      </c>
      <c r="O116" s="4">
        <v>2</v>
      </c>
      <c r="P116" s="4"/>
    </row>
    <row r="117" spans="1:16" ht="12.75">
      <c r="A117" s="4">
        <v>50</v>
      </c>
      <c r="B117" s="4">
        <v>0</v>
      </c>
      <c r="C117" s="4">
        <v>0</v>
      </c>
      <c r="D117" s="4">
        <v>1</v>
      </c>
      <c r="E117" s="4">
        <v>211</v>
      </c>
      <c r="F117" s="4">
        <f>ROUND(Source!Y94,O117)</f>
        <v>20178.29</v>
      </c>
      <c r="G117" s="4" t="s">
        <v>255</v>
      </c>
      <c r="H117" s="4" t="s">
        <v>256</v>
      </c>
      <c r="I117" s="4"/>
      <c r="J117" s="4"/>
      <c r="K117" s="4">
        <v>211</v>
      </c>
      <c r="L117" s="4">
        <v>22</v>
      </c>
      <c r="M117" s="4">
        <v>3</v>
      </c>
      <c r="N117" s="4" t="s">
        <v>6</v>
      </c>
      <c r="O117" s="4">
        <v>2</v>
      </c>
      <c r="P117" s="4"/>
    </row>
    <row r="118" spans="1:16" ht="12.75">
      <c r="A118" s="4">
        <v>50</v>
      </c>
      <c r="B118" s="4">
        <v>0</v>
      </c>
      <c r="C118" s="4">
        <v>0</v>
      </c>
      <c r="D118" s="4">
        <v>1</v>
      </c>
      <c r="E118" s="4">
        <v>224</v>
      </c>
      <c r="F118" s="4">
        <f>ROUND(Source!AR94,O118)</f>
        <v>179762.09</v>
      </c>
      <c r="G118" s="4" t="s">
        <v>257</v>
      </c>
      <c r="H118" s="4" t="s">
        <v>258</v>
      </c>
      <c r="I118" s="4"/>
      <c r="J118" s="4"/>
      <c r="K118" s="4">
        <v>224</v>
      </c>
      <c r="L118" s="4">
        <v>23</v>
      </c>
      <c r="M118" s="4">
        <v>3</v>
      </c>
      <c r="N118" s="4" t="s">
        <v>6</v>
      </c>
      <c r="O118" s="4">
        <v>2</v>
      </c>
      <c r="P118" s="4"/>
    </row>
    <row r="119" spans="1:16" ht="12.75">
      <c r="A119" s="4">
        <v>50</v>
      </c>
      <c r="B119" s="4">
        <v>1</v>
      </c>
      <c r="C119" s="4">
        <v>0</v>
      </c>
      <c r="D119" s="4">
        <v>2</v>
      </c>
      <c r="E119" s="4">
        <v>0</v>
      </c>
      <c r="F119" s="4">
        <f>ROUND(F96+F116+F117,O119)</f>
        <v>179762.09</v>
      </c>
      <c r="G119" s="4" t="s">
        <v>259</v>
      </c>
      <c r="H119" s="4" t="s">
        <v>260</v>
      </c>
      <c r="I119" s="4"/>
      <c r="J119" s="4"/>
      <c r="K119" s="4">
        <v>212</v>
      </c>
      <c r="L119" s="4">
        <v>24</v>
      </c>
      <c r="M119" s="4">
        <v>0</v>
      </c>
      <c r="N119" s="4" t="s">
        <v>6</v>
      </c>
      <c r="O119" s="4">
        <v>2</v>
      </c>
      <c r="P119" s="4"/>
    </row>
    <row r="120" spans="1:16" ht="12.75">
      <c r="A120" s="4">
        <v>50</v>
      </c>
      <c r="B120" s="4">
        <v>1</v>
      </c>
      <c r="C120" s="4">
        <v>0</v>
      </c>
      <c r="D120" s="4">
        <v>2</v>
      </c>
      <c r="E120" s="4">
        <v>0</v>
      </c>
      <c r="F120" s="4">
        <f>ROUND((F97+(F106-F107)+F116*0.1932+F117*0.15)*20/F119,O120)</f>
        <v>11.25</v>
      </c>
      <c r="G120" s="4" t="s">
        <v>261</v>
      </c>
      <c r="H120" s="4" t="s">
        <v>262</v>
      </c>
      <c r="I120" s="4"/>
      <c r="J120" s="4"/>
      <c r="K120" s="4">
        <v>212</v>
      </c>
      <c r="L120" s="4">
        <v>25</v>
      </c>
      <c r="M120" s="4">
        <v>0</v>
      </c>
      <c r="N120" s="4" t="s">
        <v>6</v>
      </c>
      <c r="O120" s="4">
        <v>2</v>
      </c>
      <c r="P120" s="4"/>
    </row>
    <row r="121" spans="1:16" ht="12.75">
      <c r="A121" s="4">
        <v>50</v>
      </c>
      <c r="B121" s="4">
        <v>1</v>
      </c>
      <c r="C121" s="4">
        <v>0</v>
      </c>
      <c r="D121" s="4">
        <v>2</v>
      </c>
      <c r="E121" s="4">
        <v>0</v>
      </c>
      <c r="F121" s="4">
        <f>ROUND(F120/100*F119,O121)</f>
        <v>20223.24</v>
      </c>
      <c r="G121" s="4" t="s">
        <v>263</v>
      </c>
      <c r="H121" s="4" t="s">
        <v>264</v>
      </c>
      <c r="I121" s="4"/>
      <c r="J121" s="4"/>
      <c r="K121" s="4">
        <v>212</v>
      </c>
      <c r="L121" s="4">
        <v>26</v>
      </c>
      <c r="M121" s="4">
        <v>0</v>
      </c>
      <c r="N121" s="4" t="s">
        <v>6</v>
      </c>
      <c r="O121" s="4">
        <v>2</v>
      </c>
      <c r="P121" s="4"/>
    </row>
    <row r="122" spans="1:16" ht="12.75">
      <c r="A122" s="4">
        <v>50</v>
      </c>
      <c r="B122" s="4">
        <v>1</v>
      </c>
      <c r="C122" s="4">
        <v>0</v>
      </c>
      <c r="D122" s="4">
        <v>2</v>
      </c>
      <c r="E122" s="4">
        <v>213</v>
      </c>
      <c r="F122" s="4">
        <f>ROUND(F119+F121,O122)</f>
        <v>199985.33</v>
      </c>
      <c r="G122" s="4" t="s">
        <v>265</v>
      </c>
      <c r="H122" s="4" t="s">
        <v>257</v>
      </c>
      <c r="I122" s="4"/>
      <c r="J122" s="4"/>
      <c r="K122" s="4">
        <v>212</v>
      </c>
      <c r="L122" s="4">
        <v>27</v>
      </c>
      <c r="M122" s="4">
        <v>0</v>
      </c>
      <c r="N122" s="4" t="s">
        <v>6</v>
      </c>
      <c r="O122" s="4">
        <v>2</v>
      </c>
      <c r="P122" s="4"/>
    </row>
    <row r="125" spans="1:14" ht="12.75">
      <c r="A125">
        <v>70</v>
      </c>
      <c r="B125">
        <v>1</v>
      </c>
      <c r="D125">
        <v>1</v>
      </c>
      <c r="E125" t="s">
        <v>266</v>
      </c>
      <c r="F125" t="s">
        <v>267</v>
      </c>
      <c r="G125">
        <v>0</v>
      </c>
      <c r="H125">
        <v>0</v>
      </c>
      <c r="J125">
        <v>1</v>
      </c>
      <c r="K125">
        <v>0</v>
      </c>
      <c r="N125">
        <v>0</v>
      </c>
    </row>
    <row r="126" spans="1:14" ht="12.75">
      <c r="A126">
        <v>70</v>
      </c>
      <c r="B126">
        <v>1</v>
      </c>
      <c r="D126">
        <v>2</v>
      </c>
      <c r="E126" t="s">
        <v>268</v>
      </c>
      <c r="F126" t="s">
        <v>269</v>
      </c>
      <c r="G126">
        <v>1</v>
      </c>
      <c r="H126">
        <v>0</v>
      </c>
      <c r="J126">
        <v>1</v>
      </c>
      <c r="K126">
        <v>0</v>
      </c>
      <c r="N126">
        <v>0</v>
      </c>
    </row>
    <row r="127" spans="1:14" ht="12.75">
      <c r="A127">
        <v>70</v>
      </c>
      <c r="B127">
        <v>1</v>
      </c>
      <c r="D127">
        <v>3</v>
      </c>
      <c r="E127" t="s">
        <v>270</v>
      </c>
      <c r="F127" t="s">
        <v>271</v>
      </c>
      <c r="G127">
        <v>0</v>
      </c>
      <c r="H127">
        <v>0</v>
      </c>
      <c r="J127">
        <v>1</v>
      </c>
      <c r="K127">
        <v>0</v>
      </c>
      <c r="N127">
        <v>0</v>
      </c>
    </row>
    <row r="128" spans="1:14" ht="12.75">
      <c r="A128">
        <v>70</v>
      </c>
      <c r="B128">
        <v>1</v>
      </c>
      <c r="D128">
        <v>4</v>
      </c>
      <c r="E128" t="s">
        <v>272</v>
      </c>
      <c r="F128" t="s">
        <v>273</v>
      </c>
      <c r="G128">
        <v>1</v>
      </c>
      <c r="H128">
        <v>0</v>
      </c>
      <c r="I128" t="s">
        <v>274</v>
      </c>
      <c r="J128">
        <v>0</v>
      </c>
      <c r="K128">
        <v>0</v>
      </c>
      <c r="N128">
        <v>0</v>
      </c>
    </row>
    <row r="129" spans="1:14" ht="12.75">
      <c r="A129">
        <v>70</v>
      </c>
      <c r="B129">
        <v>1</v>
      </c>
      <c r="D129">
        <v>5</v>
      </c>
      <c r="E129" t="s">
        <v>275</v>
      </c>
      <c r="F129" t="s">
        <v>276</v>
      </c>
      <c r="G129">
        <v>0</v>
      </c>
      <c r="H129">
        <v>0</v>
      </c>
      <c r="I129" t="s">
        <v>277</v>
      </c>
      <c r="J129">
        <v>0</v>
      </c>
      <c r="K129">
        <v>0</v>
      </c>
      <c r="N129">
        <v>0</v>
      </c>
    </row>
    <row r="130" spans="1:14" ht="12.75">
      <c r="A130">
        <v>70</v>
      </c>
      <c r="B130">
        <v>1</v>
      </c>
      <c r="D130">
        <v>6</v>
      </c>
      <c r="E130" t="s">
        <v>278</v>
      </c>
      <c r="F130" t="s">
        <v>279</v>
      </c>
      <c r="G130">
        <v>0</v>
      </c>
      <c r="H130">
        <v>0</v>
      </c>
      <c r="I130" t="s">
        <v>280</v>
      </c>
      <c r="J130">
        <v>0</v>
      </c>
      <c r="K130">
        <v>0</v>
      </c>
      <c r="N130">
        <v>0</v>
      </c>
    </row>
    <row r="131" spans="1:14" ht="12.75">
      <c r="A131">
        <v>70</v>
      </c>
      <c r="B131">
        <v>1</v>
      </c>
      <c r="D131">
        <v>7</v>
      </c>
      <c r="E131" t="s">
        <v>281</v>
      </c>
      <c r="F131" t="s">
        <v>282</v>
      </c>
      <c r="G131">
        <v>1</v>
      </c>
      <c r="H131">
        <v>0</v>
      </c>
      <c r="J131">
        <v>0</v>
      </c>
      <c r="K131">
        <v>0</v>
      </c>
      <c r="N131">
        <v>0</v>
      </c>
    </row>
    <row r="132" spans="1:14" ht="12.75">
      <c r="A132">
        <v>70</v>
      </c>
      <c r="B132">
        <v>1</v>
      </c>
      <c r="D132">
        <v>8</v>
      </c>
      <c r="E132" t="s">
        <v>283</v>
      </c>
      <c r="F132" t="s">
        <v>284</v>
      </c>
      <c r="G132">
        <v>0</v>
      </c>
      <c r="H132">
        <v>0</v>
      </c>
      <c r="I132" t="s">
        <v>285</v>
      </c>
      <c r="J132">
        <v>0</v>
      </c>
      <c r="K132">
        <v>0</v>
      </c>
      <c r="N132">
        <v>0</v>
      </c>
    </row>
    <row r="133" spans="1:14" ht="12.75">
      <c r="A133">
        <v>70</v>
      </c>
      <c r="B133">
        <v>1</v>
      </c>
      <c r="D133">
        <v>9</v>
      </c>
      <c r="E133" t="s">
        <v>286</v>
      </c>
      <c r="F133" t="s">
        <v>287</v>
      </c>
      <c r="G133">
        <v>0</v>
      </c>
      <c r="H133">
        <v>0</v>
      </c>
      <c r="I133" t="s">
        <v>288</v>
      </c>
      <c r="J133">
        <v>0</v>
      </c>
      <c r="K133">
        <v>0</v>
      </c>
      <c r="N133">
        <v>0</v>
      </c>
    </row>
    <row r="134" spans="1:14" ht="12.75">
      <c r="A134">
        <v>70</v>
      </c>
      <c r="B134">
        <v>1</v>
      </c>
      <c r="D134">
        <v>10</v>
      </c>
      <c r="E134" t="s">
        <v>289</v>
      </c>
      <c r="F134" t="s">
        <v>290</v>
      </c>
      <c r="G134">
        <v>0</v>
      </c>
      <c r="H134">
        <v>0</v>
      </c>
      <c r="I134" t="s">
        <v>291</v>
      </c>
      <c r="J134">
        <v>0</v>
      </c>
      <c r="K134">
        <v>0</v>
      </c>
      <c r="N134">
        <v>0</v>
      </c>
    </row>
    <row r="135" spans="1:14" ht="12.75">
      <c r="A135">
        <v>70</v>
      </c>
      <c r="B135">
        <v>1</v>
      </c>
      <c r="D135">
        <v>11</v>
      </c>
      <c r="E135" t="s">
        <v>292</v>
      </c>
      <c r="F135" t="s">
        <v>293</v>
      </c>
      <c r="G135">
        <v>0</v>
      </c>
      <c r="H135">
        <v>0</v>
      </c>
      <c r="I135" t="s">
        <v>294</v>
      </c>
      <c r="J135">
        <v>0</v>
      </c>
      <c r="K135">
        <v>0</v>
      </c>
      <c r="N135">
        <v>0</v>
      </c>
    </row>
    <row r="136" spans="1:14" ht="12.75">
      <c r="A136">
        <v>70</v>
      </c>
      <c r="B136">
        <v>1</v>
      </c>
      <c r="D136">
        <v>12</v>
      </c>
      <c r="E136" t="s">
        <v>295</v>
      </c>
      <c r="F136" t="s">
        <v>296</v>
      </c>
      <c r="G136">
        <v>0</v>
      </c>
      <c r="H136">
        <v>0</v>
      </c>
      <c r="J136">
        <v>0</v>
      </c>
      <c r="K136">
        <v>0</v>
      </c>
      <c r="N136">
        <v>0</v>
      </c>
    </row>
    <row r="137" spans="1:14" ht="12.75">
      <c r="A137">
        <v>70</v>
      </c>
      <c r="B137">
        <v>1</v>
      </c>
      <c r="D137">
        <v>1</v>
      </c>
      <c r="E137" t="s">
        <v>297</v>
      </c>
      <c r="F137" t="s">
        <v>298</v>
      </c>
      <c r="G137">
        <v>0.9</v>
      </c>
      <c r="H137">
        <v>1</v>
      </c>
      <c r="I137" t="s">
        <v>299</v>
      </c>
      <c r="J137">
        <v>0</v>
      </c>
      <c r="K137">
        <v>0</v>
      </c>
      <c r="N137">
        <v>0</v>
      </c>
    </row>
    <row r="138" spans="1:14" ht="12.75">
      <c r="A138">
        <v>70</v>
      </c>
      <c r="B138">
        <v>1</v>
      </c>
      <c r="D138">
        <v>2</v>
      </c>
      <c r="E138" t="s">
        <v>300</v>
      </c>
      <c r="F138" t="s">
        <v>301</v>
      </c>
      <c r="G138">
        <v>0.85</v>
      </c>
      <c r="H138">
        <v>1</v>
      </c>
      <c r="I138" t="s">
        <v>302</v>
      </c>
      <c r="J138">
        <v>0</v>
      </c>
      <c r="K138">
        <v>0</v>
      </c>
      <c r="N138">
        <v>0</v>
      </c>
    </row>
    <row r="139" spans="1:14" ht="12.75">
      <c r="A139">
        <v>70</v>
      </c>
      <c r="B139">
        <v>1</v>
      </c>
      <c r="D139">
        <v>3</v>
      </c>
      <c r="E139" t="s">
        <v>303</v>
      </c>
      <c r="F139" t="s">
        <v>304</v>
      </c>
      <c r="G139">
        <v>1</v>
      </c>
      <c r="H139">
        <v>0.85</v>
      </c>
      <c r="I139" t="s">
        <v>305</v>
      </c>
      <c r="J139">
        <v>0</v>
      </c>
      <c r="K139">
        <v>0</v>
      </c>
      <c r="N139">
        <v>0</v>
      </c>
    </row>
    <row r="140" spans="1:14" ht="12.75">
      <c r="A140">
        <v>70</v>
      </c>
      <c r="B140">
        <v>1</v>
      </c>
      <c r="D140">
        <v>4</v>
      </c>
      <c r="E140" t="s">
        <v>306</v>
      </c>
      <c r="F140" t="s">
        <v>307</v>
      </c>
      <c r="G140">
        <v>1</v>
      </c>
      <c r="H140">
        <v>0</v>
      </c>
      <c r="J140">
        <v>0</v>
      </c>
      <c r="K140">
        <v>0</v>
      </c>
      <c r="N140">
        <v>0</v>
      </c>
    </row>
    <row r="141" spans="1:14" ht="12.75">
      <c r="A141">
        <v>70</v>
      </c>
      <c r="B141">
        <v>1</v>
      </c>
      <c r="D141">
        <v>5</v>
      </c>
      <c r="E141" t="s">
        <v>308</v>
      </c>
      <c r="F141" t="s">
        <v>309</v>
      </c>
      <c r="G141">
        <v>1</v>
      </c>
      <c r="H141">
        <v>0.8</v>
      </c>
      <c r="I141" t="s">
        <v>310</v>
      </c>
      <c r="J141">
        <v>0</v>
      </c>
      <c r="K141">
        <v>0</v>
      </c>
      <c r="N141">
        <v>0</v>
      </c>
    </row>
    <row r="142" spans="1:14" ht="12.75">
      <c r="A142">
        <v>70</v>
      </c>
      <c r="B142">
        <v>1</v>
      </c>
      <c r="D142">
        <v>6</v>
      </c>
      <c r="E142" t="s">
        <v>311</v>
      </c>
      <c r="F142" t="s">
        <v>312</v>
      </c>
      <c r="G142">
        <v>0.85</v>
      </c>
      <c r="H142">
        <v>0</v>
      </c>
      <c r="J142">
        <v>0</v>
      </c>
      <c r="K142">
        <v>0</v>
      </c>
      <c r="N142">
        <v>0</v>
      </c>
    </row>
    <row r="143" spans="1:14" ht="12.75">
      <c r="A143">
        <v>70</v>
      </c>
      <c r="B143">
        <v>1</v>
      </c>
      <c r="D143">
        <v>7</v>
      </c>
      <c r="E143" t="s">
        <v>313</v>
      </c>
      <c r="F143" t="s">
        <v>314</v>
      </c>
      <c r="G143">
        <v>0.8</v>
      </c>
      <c r="H143">
        <v>0</v>
      </c>
      <c r="J143">
        <v>0</v>
      </c>
      <c r="K143">
        <v>0</v>
      </c>
      <c r="N143">
        <v>0</v>
      </c>
    </row>
    <row r="144" spans="1:14" ht="12.75">
      <c r="A144">
        <v>70</v>
      </c>
      <c r="B144">
        <v>1</v>
      </c>
      <c r="D144">
        <v>8</v>
      </c>
      <c r="E144" t="s">
        <v>315</v>
      </c>
      <c r="F144" t="s">
        <v>316</v>
      </c>
      <c r="G144">
        <v>0.7</v>
      </c>
      <c r="H144">
        <v>0</v>
      </c>
      <c r="J144">
        <v>0</v>
      </c>
      <c r="K144">
        <v>0</v>
      </c>
      <c r="N144">
        <v>0</v>
      </c>
    </row>
    <row r="145" spans="1:14" ht="12.75">
      <c r="A145">
        <v>70</v>
      </c>
      <c r="B145">
        <v>1</v>
      </c>
      <c r="D145">
        <v>9</v>
      </c>
      <c r="E145" t="s">
        <v>317</v>
      </c>
      <c r="F145" t="s">
        <v>318</v>
      </c>
      <c r="G145">
        <v>0.9</v>
      </c>
      <c r="H145">
        <v>0</v>
      </c>
      <c r="J145">
        <v>0</v>
      </c>
      <c r="K145">
        <v>0</v>
      </c>
      <c r="N145">
        <v>0</v>
      </c>
    </row>
    <row r="146" spans="1:14" ht="12.75">
      <c r="A146">
        <v>70</v>
      </c>
      <c r="B146">
        <v>1</v>
      </c>
      <c r="D146">
        <v>10</v>
      </c>
      <c r="E146" t="s">
        <v>319</v>
      </c>
      <c r="F146" t="s">
        <v>320</v>
      </c>
      <c r="G146">
        <v>0.6</v>
      </c>
      <c r="H146">
        <v>0</v>
      </c>
      <c r="J146">
        <v>0</v>
      </c>
      <c r="K146">
        <v>0</v>
      </c>
      <c r="N146">
        <v>0</v>
      </c>
    </row>
    <row r="147" spans="1:14" ht="12.75">
      <c r="A147">
        <v>70</v>
      </c>
      <c r="B147">
        <v>1</v>
      </c>
      <c r="D147">
        <v>11</v>
      </c>
      <c r="E147" t="s">
        <v>321</v>
      </c>
      <c r="F147" t="s">
        <v>322</v>
      </c>
      <c r="G147">
        <v>1.2</v>
      </c>
      <c r="H147">
        <v>0</v>
      </c>
      <c r="J147">
        <v>0</v>
      </c>
      <c r="K147">
        <v>0</v>
      </c>
      <c r="N147">
        <v>0</v>
      </c>
    </row>
    <row r="148" spans="1:14" ht="12.75">
      <c r="A148">
        <v>70</v>
      </c>
      <c r="B148">
        <v>1</v>
      </c>
      <c r="D148">
        <v>12</v>
      </c>
      <c r="E148" t="s">
        <v>323</v>
      </c>
      <c r="F148" t="s">
        <v>324</v>
      </c>
      <c r="G148">
        <v>0</v>
      </c>
      <c r="H148">
        <v>0</v>
      </c>
      <c r="J148">
        <v>0</v>
      </c>
      <c r="K148">
        <v>0</v>
      </c>
      <c r="N148">
        <v>0</v>
      </c>
    </row>
    <row r="149" spans="1:14" ht="12.75">
      <c r="A149">
        <v>70</v>
      </c>
      <c r="B149">
        <v>1</v>
      </c>
      <c r="D149">
        <v>13</v>
      </c>
      <c r="E149" t="s">
        <v>325</v>
      </c>
      <c r="F149" t="s">
        <v>326</v>
      </c>
      <c r="G149">
        <v>1</v>
      </c>
      <c r="H149">
        <v>0</v>
      </c>
      <c r="J149">
        <v>0</v>
      </c>
      <c r="K149">
        <v>0</v>
      </c>
      <c r="N149">
        <v>0</v>
      </c>
    </row>
    <row r="151" ht="12.75">
      <c r="A151">
        <v>-1</v>
      </c>
    </row>
    <row r="153" spans="1:15" ht="12.75">
      <c r="A153" s="3">
        <v>75</v>
      </c>
      <c r="B153" s="3" t="s">
        <v>327</v>
      </c>
      <c r="C153" s="3">
        <v>2020</v>
      </c>
      <c r="D153" s="3">
        <v>0</v>
      </c>
      <c r="E153" s="3">
        <v>8</v>
      </c>
      <c r="F153" s="3">
        <v>0</v>
      </c>
      <c r="G153" s="3">
        <v>0</v>
      </c>
      <c r="H153" s="3">
        <v>1</v>
      </c>
      <c r="I153" s="3">
        <v>0</v>
      </c>
      <c r="J153" s="3">
        <v>1</v>
      </c>
      <c r="K153" s="3">
        <v>0</v>
      </c>
      <c r="L153" s="3">
        <v>0</v>
      </c>
      <c r="M153" s="3">
        <v>0</v>
      </c>
      <c r="N153" s="3">
        <v>45926640</v>
      </c>
      <c r="O153" s="3">
        <v>1</v>
      </c>
    </row>
    <row r="154" spans="1:26" ht="12.75">
      <c r="A154" s="5">
        <v>1</v>
      </c>
      <c r="B154" s="5" t="s">
        <v>328</v>
      </c>
      <c r="C154" s="5" t="s">
        <v>329</v>
      </c>
      <c r="D154" s="5">
        <v>2020</v>
      </c>
      <c r="E154" s="5">
        <v>8</v>
      </c>
      <c r="F154" s="5">
        <v>1</v>
      </c>
      <c r="G154" s="5">
        <v>1</v>
      </c>
      <c r="H154" s="5">
        <v>0</v>
      </c>
      <c r="I154" s="5">
        <v>2</v>
      </c>
      <c r="J154" s="5">
        <v>1</v>
      </c>
      <c r="K154" s="5">
        <v>1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" t="s">
        <v>6</v>
      </c>
      <c r="S154" s="5" t="s">
        <v>6</v>
      </c>
      <c r="T154" s="5" t="s">
        <v>6</v>
      </c>
      <c r="U154" s="5" t="s">
        <v>6</v>
      </c>
      <c r="V154" s="5" t="s">
        <v>6</v>
      </c>
      <c r="W154" s="5" t="s">
        <v>6</v>
      </c>
      <c r="X154" s="5" t="s">
        <v>6</v>
      </c>
      <c r="Y154" s="5" t="s">
        <v>6</v>
      </c>
      <c r="Z154" s="5" t="s">
        <v>6</v>
      </c>
    </row>
    <row r="155" spans="1:5" ht="12.75">
      <c r="A155" s="5">
        <v>2</v>
      </c>
      <c r="B155" s="5" t="s">
        <v>330</v>
      </c>
      <c r="C155" s="5" t="s">
        <v>331</v>
      </c>
      <c r="D155" s="5">
        <v>0</v>
      </c>
      <c r="E155" s="5">
        <v>1</v>
      </c>
    </row>
    <row r="159" spans="1:5" ht="12.75">
      <c r="A159">
        <v>65</v>
      </c>
      <c r="C159">
        <v>1</v>
      </c>
      <c r="D159">
        <v>0</v>
      </c>
      <c r="E159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332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23369</v>
      </c>
      <c r="M1">
        <v>10</v>
      </c>
    </row>
    <row r="12" spans="1:133" ht="12.75">
      <c r="A12" s="1">
        <v>1</v>
      </c>
      <c r="B12" s="1">
        <v>51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0</v>
      </c>
      <c r="CI12" s="1" t="s">
        <v>6</v>
      </c>
      <c r="CJ12" s="1" t="s">
        <v>6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45926640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6">
        <v>3</v>
      </c>
      <c r="B16" s="6">
        <v>1</v>
      </c>
      <c r="C16" s="6" t="s">
        <v>13</v>
      </c>
      <c r="D16" s="6" t="s">
        <v>13</v>
      </c>
      <c r="E16" s="7">
        <v>178.67435</v>
      </c>
      <c r="F16" s="7">
        <v>1.08774</v>
      </c>
      <c r="G16" s="7">
        <v>0</v>
      </c>
      <c r="H16" s="7">
        <v>0</v>
      </c>
      <c r="I16" s="7">
        <v>179.76209</v>
      </c>
      <c r="J16" s="7">
        <v>38.07564</v>
      </c>
      <c r="AI16" s="6">
        <v>0</v>
      </c>
      <c r="AJ16" s="6">
        <v>0</v>
      </c>
      <c r="AK16" s="6" t="s">
        <v>6</v>
      </c>
      <c r="AL16" s="6" t="s">
        <v>6</v>
      </c>
      <c r="AM16" s="6" t="s">
        <v>6</v>
      </c>
      <c r="AN16" s="6">
        <v>0</v>
      </c>
      <c r="AO16" s="6" t="s">
        <v>6</v>
      </c>
      <c r="AP16" s="6" t="s">
        <v>6</v>
      </c>
      <c r="AT16" s="7">
        <v>131177.17</v>
      </c>
      <c r="AU16" s="7">
        <v>91197.28</v>
      </c>
      <c r="AV16" s="7">
        <v>0</v>
      </c>
      <c r="AW16" s="7">
        <v>0</v>
      </c>
      <c r="AX16" s="7">
        <v>0</v>
      </c>
      <c r="AY16" s="7">
        <v>1904.25</v>
      </c>
      <c r="AZ16" s="7">
        <v>455.32</v>
      </c>
      <c r="BA16" s="7">
        <v>38075.64</v>
      </c>
      <c r="BB16" s="7">
        <v>178674.35</v>
      </c>
      <c r="BC16" s="7">
        <v>1087.74</v>
      </c>
      <c r="BD16" s="7">
        <v>0</v>
      </c>
      <c r="BE16" s="7">
        <v>0</v>
      </c>
      <c r="BF16" s="7">
        <v>129.99680700000002</v>
      </c>
      <c r="BG16" s="7">
        <v>1.2257624999999999</v>
      </c>
      <c r="BH16" s="7">
        <v>9.56</v>
      </c>
      <c r="BI16" s="7">
        <v>28406.63</v>
      </c>
      <c r="BJ16" s="7">
        <v>20178.29</v>
      </c>
      <c r="BK16" s="7">
        <v>179762.09</v>
      </c>
    </row>
    <row r="18" spans="1:19" ht="12.75">
      <c r="A18">
        <v>51</v>
      </c>
      <c r="E18" s="8">
        <v>178.67435</v>
      </c>
      <c r="F18" s="8">
        <v>1.08774</v>
      </c>
      <c r="G18" s="8">
        <v>0</v>
      </c>
      <c r="H18" s="8">
        <v>0</v>
      </c>
      <c r="I18" s="8">
        <v>179.76209</v>
      </c>
      <c r="J18" s="8">
        <v>38.07564</v>
      </c>
      <c r="K18" s="8"/>
      <c r="L18" s="8"/>
      <c r="M18" s="8"/>
      <c r="N18" s="8"/>
      <c r="O18" s="8"/>
      <c r="P18" s="8"/>
      <c r="Q18" s="8"/>
      <c r="R18" s="8"/>
      <c r="S18" s="8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131177.17</v>
      </c>
      <c r="G20" s="4" t="s">
        <v>213</v>
      </c>
      <c r="H20" s="4" t="s">
        <v>214</v>
      </c>
      <c r="I20" s="4"/>
      <c r="J20" s="4"/>
      <c r="K20" s="4">
        <v>201</v>
      </c>
      <c r="L20" s="4">
        <v>1</v>
      </c>
      <c r="M20" s="4">
        <v>3</v>
      </c>
      <c r="N20" s="4" t="s">
        <v>6</v>
      </c>
      <c r="O20" s="4">
        <v>2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91197.28</v>
      </c>
      <c r="G21" s="4" t="s">
        <v>215</v>
      </c>
      <c r="H21" s="4" t="s">
        <v>216</v>
      </c>
      <c r="I21" s="4"/>
      <c r="J21" s="4"/>
      <c r="K21" s="4">
        <v>202</v>
      </c>
      <c r="L21" s="4">
        <v>2</v>
      </c>
      <c r="M21" s="4">
        <v>3</v>
      </c>
      <c r="N21" s="4" t="s">
        <v>6</v>
      </c>
      <c r="O21" s="4">
        <v>2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217</v>
      </c>
      <c r="H22" s="4" t="s">
        <v>218</v>
      </c>
      <c r="I22" s="4"/>
      <c r="J22" s="4"/>
      <c r="K22" s="4">
        <v>222</v>
      </c>
      <c r="L22" s="4">
        <v>3</v>
      </c>
      <c r="M22" s="4">
        <v>3</v>
      </c>
      <c r="N22" s="4" t="s">
        <v>6</v>
      </c>
      <c r="O22" s="4">
        <v>2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91197.28</v>
      </c>
      <c r="G23" s="4" t="s">
        <v>219</v>
      </c>
      <c r="H23" s="4" t="s">
        <v>220</v>
      </c>
      <c r="I23" s="4"/>
      <c r="J23" s="4"/>
      <c r="K23" s="4">
        <v>225</v>
      </c>
      <c r="L23" s="4">
        <v>4</v>
      </c>
      <c r="M23" s="4">
        <v>3</v>
      </c>
      <c r="N23" s="4" t="s">
        <v>6</v>
      </c>
      <c r="O23" s="4">
        <v>2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91197.28</v>
      </c>
      <c r="G24" s="4" t="s">
        <v>221</v>
      </c>
      <c r="H24" s="4" t="s">
        <v>222</v>
      </c>
      <c r="I24" s="4"/>
      <c r="J24" s="4"/>
      <c r="K24" s="4">
        <v>226</v>
      </c>
      <c r="L24" s="4">
        <v>5</v>
      </c>
      <c r="M24" s="4">
        <v>3</v>
      </c>
      <c r="N24" s="4" t="s">
        <v>6</v>
      </c>
      <c r="O24" s="4">
        <v>2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223</v>
      </c>
      <c r="H25" s="4" t="s">
        <v>224</v>
      </c>
      <c r="I25" s="4"/>
      <c r="J25" s="4"/>
      <c r="K25" s="4">
        <v>227</v>
      </c>
      <c r="L25" s="4">
        <v>6</v>
      </c>
      <c r="M25" s="4">
        <v>3</v>
      </c>
      <c r="N25" s="4" t="s">
        <v>6</v>
      </c>
      <c r="O25" s="4">
        <v>2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91197.28</v>
      </c>
      <c r="G26" s="4" t="s">
        <v>225</v>
      </c>
      <c r="H26" s="4" t="s">
        <v>226</v>
      </c>
      <c r="I26" s="4"/>
      <c r="J26" s="4"/>
      <c r="K26" s="4">
        <v>228</v>
      </c>
      <c r="L26" s="4">
        <v>7</v>
      </c>
      <c r="M26" s="4">
        <v>3</v>
      </c>
      <c r="N26" s="4" t="s">
        <v>6</v>
      </c>
      <c r="O26" s="4">
        <v>2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227</v>
      </c>
      <c r="H27" s="4" t="s">
        <v>228</v>
      </c>
      <c r="I27" s="4"/>
      <c r="J27" s="4"/>
      <c r="K27" s="4">
        <v>216</v>
      </c>
      <c r="L27" s="4">
        <v>8</v>
      </c>
      <c r="M27" s="4">
        <v>3</v>
      </c>
      <c r="N27" s="4" t="s">
        <v>6</v>
      </c>
      <c r="O27" s="4">
        <v>2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229</v>
      </c>
      <c r="H28" s="4" t="s">
        <v>230</v>
      </c>
      <c r="I28" s="4"/>
      <c r="J28" s="4"/>
      <c r="K28" s="4">
        <v>223</v>
      </c>
      <c r="L28" s="4">
        <v>9</v>
      </c>
      <c r="M28" s="4">
        <v>3</v>
      </c>
      <c r="N28" s="4" t="s">
        <v>6</v>
      </c>
      <c r="O28" s="4">
        <v>2</v>
      </c>
      <c r="P28" s="4"/>
    </row>
    <row r="29" spans="1:16" ht="12.75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231</v>
      </c>
      <c r="H29" s="4" t="s">
        <v>232</v>
      </c>
      <c r="I29" s="4"/>
      <c r="J29" s="4"/>
      <c r="K29" s="4">
        <v>229</v>
      </c>
      <c r="L29" s="4">
        <v>10</v>
      </c>
      <c r="M29" s="4">
        <v>3</v>
      </c>
      <c r="N29" s="4" t="s">
        <v>6</v>
      </c>
      <c r="O29" s="4">
        <v>2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1904.25</v>
      </c>
      <c r="G30" s="4" t="s">
        <v>233</v>
      </c>
      <c r="H30" s="4" t="s">
        <v>234</v>
      </c>
      <c r="I30" s="4"/>
      <c r="J30" s="4"/>
      <c r="K30" s="4">
        <v>203</v>
      </c>
      <c r="L30" s="4">
        <v>11</v>
      </c>
      <c r="M30" s="4">
        <v>3</v>
      </c>
      <c r="N30" s="4" t="s">
        <v>6</v>
      </c>
      <c r="O30" s="4">
        <v>2</v>
      </c>
      <c r="P30" s="4"/>
    </row>
    <row r="31" spans="1:16" ht="12.75">
      <c r="A31" s="4">
        <v>50</v>
      </c>
      <c r="B31" s="4">
        <v>0</v>
      </c>
      <c r="C31" s="4">
        <v>0</v>
      </c>
      <c r="D31" s="4">
        <v>1</v>
      </c>
      <c r="E31" s="4">
        <v>204</v>
      </c>
      <c r="F31" s="4">
        <v>455.32</v>
      </c>
      <c r="G31" s="4" t="s">
        <v>235</v>
      </c>
      <c r="H31" s="4" t="s">
        <v>236</v>
      </c>
      <c r="I31" s="4"/>
      <c r="J31" s="4"/>
      <c r="K31" s="4">
        <v>204</v>
      </c>
      <c r="L31" s="4">
        <v>12</v>
      </c>
      <c r="M31" s="4">
        <v>3</v>
      </c>
      <c r="N31" s="4" t="s">
        <v>6</v>
      </c>
      <c r="O31" s="4">
        <v>2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205</v>
      </c>
      <c r="F32" s="4">
        <v>38075.64</v>
      </c>
      <c r="G32" s="4" t="s">
        <v>237</v>
      </c>
      <c r="H32" s="4" t="s">
        <v>238</v>
      </c>
      <c r="I32" s="4"/>
      <c r="J32" s="4"/>
      <c r="K32" s="4">
        <v>205</v>
      </c>
      <c r="L32" s="4">
        <v>13</v>
      </c>
      <c r="M32" s="4">
        <v>3</v>
      </c>
      <c r="N32" s="4" t="s">
        <v>6</v>
      </c>
      <c r="O32" s="4">
        <v>2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214</v>
      </c>
      <c r="F33" s="4">
        <v>178674.35</v>
      </c>
      <c r="G33" s="4" t="s">
        <v>239</v>
      </c>
      <c r="H33" s="4" t="s">
        <v>240</v>
      </c>
      <c r="I33" s="4"/>
      <c r="J33" s="4"/>
      <c r="K33" s="4">
        <v>214</v>
      </c>
      <c r="L33" s="4">
        <v>14</v>
      </c>
      <c r="M33" s="4">
        <v>3</v>
      </c>
      <c r="N33" s="4" t="s">
        <v>6</v>
      </c>
      <c r="O33" s="4">
        <v>2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215</v>
      </c>
      <c r="F34" s="4">
        <v>1087.74</v>
      </c>
      <c r="G34" s="4" t="s">
        <v>241</v>
      </c>
      <c r="H34" s="4" t="s">
        <v>242</v>
      </c>
      <c r="I34" s="4"/>
      <c r="J34" s="4"/>
      <c r="K34" s="4">
        <v>215</v>
      </c>
      <c r="L34" s="4">
        <v>15</v>
      </c>
      <c r="M34" s="4">
        <v>3</v>
      </c>
      <c r="N34" s="4" t="s">
        <v>6</v>
      </c>
      <c r="O34" s="4">
        <v>2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217</v>
      </c>
      <c r="F35" s="4">
        <v>0</v>
      </c>
      <c r="G35" s="4" t="s">
        <v>243</v>
      </c>
      <c r="H35" s="4" t="s">
        <v>244</v>
      </c>
      <c r="I35" s="4"/>
      <c r="J35" s="4"/>
      <c r="K35" s="4">
        <v>217</v>
      </c>
      <c r="L35" s="4">
        <v>16</v>
      </c>
      <c r="M35" s="4">
        <v>3</v>
      </c>
      <c r="N35" s="4" t="s">
        <v>6</v>
      </c>
      <c r="O35" s="4">
        <v>2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206</v>
      </c>
      <c r="F36" s="4">
        <v>0</v>
      </c>
      <c r="G36" s="4" t="s">
        <v>245</v>
      </c>
      <c r="H36" s="4" t="s">
        <v>246</v>
      </c>
      <c r="I36" s="4"/>
      <c r="J36" s="4"/>
      <c r="K36" s="4">
        <v>206</v>
      </c>
      <c r="L36" s="4">
        <v>17</v>
      </c>
      <c r="M36" s="4">
        <v>3</v>
      </c>
      <c r="N36" s="4" t="s">
        <v>6</v>
      </c>
      <c r="O36" s="4">
        <v>2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207</v>
      </c>
      <c r="F37" s="4">
        <v>129.99680700000002</v>
      </c>
      <c r="G37" s="4" t="s">
        <v>247</v>
      </c>
      <c r="H37" s="4" t="s">
        <v>248</v>
      </c>
      <c r="I37" s="4"/>
      <c r="J37" s="4"/>
      <c r="K37" s="4">
        <v>207</v>
      </c>
      <c r="L37" s="4">
        <v>18</v>
      </c>
      <c r="M37" s="4">
        <v>3</v>
      </c>
      <c r="N37" s="4" t="s">
        <v>6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208</v>
      </c>
      <c r="F38" s="4">
        <v>1.2257624999999999</v>
      </c>
      <c r="G38" s="4" t="s">
        <v>249</v>
      </c>
      <c r="H38" s="4" t="s">
        <v>250</v>
      </c>
      <c r="I38" s="4"/>
      <c r="J38" s="4"/>
      <c r="K38" s="4">
        <v>208</v>
      </c>
      <c r="L38" s="4">
        <v>19</v>
      </c>
      <c r="M38" s="4">
        <v>3</v>
      </c>
      <c r="N38" s="4" t="s">
        <v>6</v>
      </c>
      <c r="O38" s="4">
        <v>-1</v>
      </c>
      <c r="P38" s="4"/>
    </row>
    <row r="39" spans="1:16" ht="12.75">
      <c r="A39" s="4">
        <v>50</v>
      </c>
      <c r="B39" s="4">
        <v>0</v>
      </c>
      <c r="C39" s="4">
        <v>0</v>
      </c>
      <c r="D39" s="4">
        <v>1</v>
      </c>
      <c r="E39" s="4">
        <v>209</v>
      </c>
      <c r="F39" s="4">
        <v>9.56</v>
      </c>
      <c r="G39" s="4" t="s">
        <v>251</v>
      </c>
      <c r="H39" s="4" t="s">
        <v>252</v>
      </c>
      <c r="I39" s="4"/>
      <c r="J39" s="4"/>
      <c r="K39" s="4">
        <v>209</v>
      </c>
      <c r="L39" s="4">
        <v>20</v>
      </c>
      <c r="M39" s="4">
        <v>3</v>
      </c>
      <c r="N39" s="4" t="s">
        <v>6</v>
      </c>
      <c r="O39" s="4">
        <v>2</v>
      </c>
      <c r="P39" s="4"/>
    </row>
    <row r="40" spans="1:16" ht="12.75">
      <c r="A40" s="4">
        <v>50</v>
      </c>
      <c r="B40" s="4">
        <v>0</v>
      </c>
      <c r="C40" s="4">
        <v>0</v>
      </c>
      <c r="D40" s="4">
        <v>1</v>
      </c>
      <c r="E40" s="4">
        <v>210</v>
      </c>
      <c r="F40" s="4">
        <v>28406.63</v>
      </c>
      <c r="G40" s="4" t="s">
        <v>253</v>
      </c>
      <c r="H40" s="4" t="s">
        <v>254</v>
      </c>
      <c r="I40" s="4"/>
      <c r="J40" s="4"/>
      <c r="K40" s="4">
        <v>210</v>
      </c>
      <c r="L40" s="4">
        <v>21</v>
      </c>
      <c r="M40" s="4">
        <v>3</v>
      </c>
      <c r="N40" s="4" t="s">
        <v>6</v>
      </c>
      <c r="O40" s="4">
        <v>2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211</v>
      </c>
      <c r="F41" s="4">
        <v>20178.29</v>
      </c>
      <c r="G41" s="4" t="s">
        <v>255</v>
      </c>
      <c r="H41" s="4" t="s">
        <v>256</v>
      </c>
      <c r="I41" s="4"/>
      <c r="J41" s="4"/>
      <c r="K41" s="4">
        <v>211</v>
      </c>
      <c r="L41" s="4">
        <v>22</v>
      </c>
      <c r="M41" s="4">
        <v>3</v>
      </c>
      <c r="N41" s="4" t="s">
        <v>6</v>
      </c>
      <c r="O41" s="4">
        <v>2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224</v>
      </c>
      <c r="F42" s="4">
        <v>179762.09</v>
      </c>
      <c r="G42" s="4" t="s">
        <v>257</v>
      </c>
      <c r="H42" s="4" t="s">
        <v>258</v>
      </c>
      <c r="I42" s="4"/>
      <c r="J42" s="4"/>
      <c r="K42" s="4">
        <v>224</v>
      </c>
      <c r="L42" s="4">
        <v>23</v>
      </c>
      <c r="M42" s="4">
        <v>3</v>
      </c>
      <c r="N42" s="4" t="s">
        <v>6</v>
      </c>
      <c r="O42" s="4">
        <v>2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179762.09</v>
      </c>
      <c r="G43" s="4" t="s">
        <v>259</v>
      </c>
      <c r="H43" s="4" t="s">
        <v>260</v>
      </c>
      <c r="I43" s="4"/>
      <c r="J43" s="4"/>
      <c r="K43" s="4">
        <v>212</v>
      </c>
      <c r="L43" s="4">
        <v>24</v>
      </c>
      <c r="M43" s="4">
        <v>0</v>
      </c>
      <c r="N43" s="4" t="s">
        <v>6</v>
      </c>
      <c r="O43" s="4">
        <v>2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11.25</v>
      </c>
      <c r="G44" s="4" t="s">
        <v>261</v>
      </c>
      <c r="H44" s="4" t="s">
        <v>262</v>
      </c>
      <c r="I44" s="4"/>
      <c r="J44" s="4"/>
      <c r="K44" s="4">
        <v>212</v>
      </c>
      <c r="L44" s="4">
        <v>25</v>
      </c>
      <c r="M44" s="4">
        <v>0</v>
      </c>
      <c r="N44" s="4" t="s">
        <v>6</v>
      </c>
      <c r="O44" s="4">
        <v>2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20223.24</v>
      </c>
      <c r="G45" s="4" t="s">
        <v>263</v>
      </c>
      <c r="H45" s="4" t="s">
        <v>264</v>
      </c>
      <c r="I45" s="4"/>
      <c r="J45" s="4"/>
      <c r="K45" s="4">
        <v>212</v>
      </c>
      <c r="L45" s="4">
        <v>26</v>
      </c>
      <c r="M45" s="4">
        <v>0</v>
      </c>
      <c r="N45" s="4" t="s">
        <v>6</v>
      </c>
      <c r="O45" s="4">
        <v>2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213</v>
      </c>
      <c r="F46" s="4">
        <v>199985.33</v>
      </c>
      <c r="G46" s="4" t="s">
        <v>265</v>
      </c>
      <c r="H46" s="4" t="s">
        <v>257</v>
      </c>
      <c r="I46" s="4"/>
      <c r="J46" s="4"/>
      <c r="K46" s="4">
        <v>212</v>
      </c>
      <c r="L46" s="4">
        <v>27</v>
      </c>
      <c r="M46" s="4">
        <v>0</v>
      </c>
      <c r="N46" s="4" t="s">
        <v>6</v>
      </c>
      <c r="O46" s="4">
        <v>2</v>
      </c>
      <c r="P46" s="4"/>
    </row>
    <row r="48" ht="12.75">
      <c r="A48">
        <v>-1</v>
      </c>
    </row>
    <row r="51" spans="1:15" ht="12.75">
      <c r="A51" s="3">
        <v>75</v>
      </c>
      <c r="B51" s="3" t="s">
        <v>327</v>
      </c>
      <c r="C51" s="3">
        <v>2020</v>
      </c>
      <c r="D51" s="3">
        <v>0</v>
      </c>
      <c r="E51" s="3">
        <v>8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45926640</v>
      </c>
      <c r="O51" s="3">
        <v>1</v>
      </c>
    </row>
    <row r="52" spans="1:26" ht="12.75">
      <c r="A52" s="5">
        <v>1</v>
      </c>
      <c r="B52" s="5" t="s">
        <v>328</v>
      </c>
      <c r="C52" s="5" t="s">
        <v>329</v>
      </c>
      <c r="D52" s="5">
        <v>2020</v>
      </c>
      <c r="E52" s="5">
        <v>8</v>
      </c>
      <c r="F52" s="5">
        <v>1</v>
      </c>
      <c r="G52" s="5">
        <v>1</v>
      </c>
      <c r="H52" s="5">
        <v>0</v>
      </c>
      <c r="I52" s="5">
        <v>2</v>
      </c>
      <c r="J52" s="5">
        <v>1</v>
      </c>
      <c r="K52" s="5">
        <v>1</v>
      </c>
      <c r="L52" s="5">
        <v>1</v>
      </c>
      <c r="M52" s="5">
        <v>1</v>
      </c>
      <c r="N52" s="5">
        <v>1</v>
      </c>
      <c r="O52" s="5">
        <v>1</v>
      </c>
      <c r="P52" s="5">
        <v>1</v>
      </c>
      <c r="Q52" s="5">
        <v>1</v>
      </c>
      <c r="R52" s="5" t="s">
        <v>6</v>
      </c>
      <c r="S52" s="5" t="s">
        <v>6</v>
      </c>
      <c r="T52" s="5" t="s">
        <v>6</v>
      </c>
      <c r="U52" s="5" t="s">
        <v>6</v>
      </c>
      <c r="V52" s="5" t="s">
        <v>6</v>
      </c>
      <c r="W52" s="5" t="s">
        <v>6</v>
      </c>
      <c r="X52" s="5" t="s">
        <v>6</v>
      </c>
      <c r="Y52" s="5" t="s">
        <v>6</v>
      </c>
      <c r="Z52" s="5" t="s">
        <v>6</v>
      </c>
    </row>
    <row r="53" spans="1:5" ht="12.75">
      <c r="A53" s="5">
        <v>2</v>
      </c>
      <c r="B53" s="5" t="s">
        <v>330</v>
      </c>
      <c r="C53" s="5" t="s">
        <v>331</v>
      </c>
      <c r="D53" s="5">
        <v>0</v>
      </c>
      <c r="E53" s="5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20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ROW(Source!A24)</f>
        <v>24</v>
      </c>
      <c r="B1">
        <v>45926640</v>
      </c>
      <c r="C1">
        <v>45926697</v>
      </c>
      <c r="D1">
        <v>37729070</v>
      </c>
      <c r="E1">
        <v>1</v>
      </c>
      <c r="F1">
        <v>1</v>
      </c>
      <c r="G1">
        <v>1</v>
      </c>
      <c r="H1">
        <v>1</v>
      </c>
      <c r="I1" t="s">
        <v>333</v>
      </c>
      <c r="K1" t="s">
        <v>334</v>
      </c>
      <c r="L1">
        <v>1369</v>
      </c>
      <c r="N1">
        <v>1013</v>
      </c>
      <c r="O1" t="s">
        <v>335</v>
      </c>
      <c r="P1" t="s">
        <v>335</v>
      </c>
      <c r="Q1">
        <v>1</v>
      </c>
      <c r="W1">
        <v>0</v>
      </c>
      <c r="X1">
        <v>362928354</v>
      </c>
      <c r="Y1">
        <v>92.8855</v>
      </c>
      <c r="AA1">
        <v>0</v>
      </c>
      <c r="AB1">
        <v>0</v>
      </c>
      <c r="AC1">
        <v>0</v>
      </c>
      <c r="AD1">
        <v>8.97</v>
      </c>
      <c r="AE1">
        <v>0</v>
      </c>
      <c r="AF1">
        <v>0</v>
      </c>
      <c r="AG1">
        <v>0</v>
      </c>
      <c r="AH1">
        <v>8.97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T1">
        <v>80.77</v>
      </c>
      <c r="AU1" t="s">
        <v>20</v>
      </c>
      <c r="AV1">
        <v>1</v>
      </c>
      <c r="AW1">
        <v>2</v>
      </c>
      <c r="AX1">
        <v>45926717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11.146259999999998</v>
      </c>
      <c r="CY1">
        <f>AD1</f>
        <v>8.97</v>
      </c>
      <c r="CZ1">
        <f>AH1</f>
        <v>8.97</v>
      </c>
      <c r="DA1">
        <f>AL1</f>
        <v>1</v>
      </c>
      <c r="DB1">
        <v>0</v>
      </c>
    </row>
    <row r="2" spans="1:106" ht="12.75">
      <c r="A2">
        <f>ROW(Source!A24)</f>
        <v>24</v>
      </c>
      <c r="B2">
        <v>45926640</v>
      </c>
      <c r="C2">
        <v>45926697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336</v>
      </c>
      <c r="L2">
        <v>608254</v>
      </c>
      <c r="N2">
        <v>1013</v>
      </c>
      <c r="O2" t="s">
        <v>337</v>
      </c>
      <c r="P2" t="s">
        <v>337</v>
      </c>
      <c r="Q2">
        <v>1</v>
      </c>
      <c r="W2">
        <v>0</v>
      </c>
      <c r="X2">
        <v>-185737400</v>
      </c>
      <c r="Y2">
        <v>0.17500000000000002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T2">
        <v>0.14</v>
      </c>
      <c r="AU2" t="s">
        <v>19</v>
      </c>
      <c r="AV2">
        <v>2</v>
      </c>
      <c r="AW2">
        <v>2</v>
      </c>
      <c r="AX2">
        <v>45926718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0.021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ROW(Source!A24)</f>
        <v>24</v>
      </c>
      <c r="B3">
        <v>45926640</v>
      </c>
      <c r="C3">
        <v>45926697</v>
      </c>
      <c r="D3">
        <v>37726181</v>
      </c>
      <c r="E3">
        <v>1</v>
      </c>
      <c r="F3">
        <v>1</v>
      </c>
      <c r="G3">
        <v>1</v>
      </c>
      <c r="H3">
        <v>2</v>
      </c>
      <c r="I3" t="s">
        <v>338</v>
      </c>
      <c r="J3" t="s">
        <v>339</v>
      </c>
      <c r="K3" t="s">
        <v>340</v>
      </c>
      <c r="L3">
        <v>1368</v>
      </c>
      <c r="N3">
        <v>1011</v>
      </c>
      <c r="O3" t="s">
        <v>341</v>
      </c>
      <c r="P3" t="s">
        <v>341</v>
      </c>
      <c r="Q3">
        <v>1</v>
      </c>
      <c r="W3">
        <v>0</v>
      </c>
      <c r="X3">
        <v>-1527418649</v>
      </c>
      <c r="Y3">
        <v>0.17500000000000002</v>
      </c>
      <c r="AA3">
        <v>0</v>
      </c>
      <c r="AB3">
        <v>363.73</v>
      </c>
      <c r="AC3">
        <v>318.9</v>
      </c>
      <c r="AD3">
        <v>0</v>
      </c>
      <c r="AE3">
        <v>0</v>
      </c>
      <c r="AF3">
        <v>25.87</v>
      </c>
      <c r="AG3">
        <v>10.06</v>
      </c>
      <c r="AH3">
        <v>0</v>
      </c>
      <c r="AI3">
        <v>1</v>
      </c>
      <c r="AJ3">
        <v>14.06</v>
      </c>
      <c r="AK3">
        <v>31.7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T3">
        <v>0.14</v>
      </c>
      <c r="AU3" t="s">
        <v>19</v>
      </c>
      <c r="AV3">
        <v>0</v>
      </c>
      <c r="AW3">
        <v>2</v>
      </c>
      <c r="AX3">
        <v>45926719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0.021</v>
      </c>
      <c r="CY3">
        <f>AB3</f>
        <v>363.73</v>
      </c>
      <c r="CZ3">
        <f>AF3</f>
        <v>25.87</v>
      </c>
      <c r="DA3">
        <f>AJ3</f>
        <v>14.06</v>
      </c>
      <c r="DB3">
        <v>0</v>
      </c>
    </row>
    <row r="4" spans="1:106" ht="12.75">
      <c r="A4">
        <f>ROW(Source!A24)</f>
        <v>24</v>
      </c>
      <c r="B4">
        <v>45926640</v>
      </c>
      <c r="C4">
        <v>45926697</v>
      </c>
      <c r="D4">
        <v>37726271</v>
      </c>
      <c r="E4">
        <v>1</v>
      </c>
      <c r="F4">
        <v>1</v>
      </c>
      <c r="G4">
        <v>1</v>
      </c>
      <c r="H4">
        <v>2</v>
      </c>
      <c r="I4" t="s">
        <v>342</v>
      </c>
      <c r="J4" t="s">
        <v>343</v>
      </c>
      <c r="K4" t="s">
        <v>344</v>
      </c>
      <c r="L4">
        <v>1368</v>
      </c>
      <c r="N4">
        <v>1011</v>
      </c>
      <c r="O4" t="s">
        <v>341</v>
      </c>
      <c r="P4" t="s">
        <v>341</v>
      </c>
      <c r="Q4">
        <v>1</v>
      </c>
      <c r="W4">
        <v>0</v>
      </c>
      <c r="X4">
        <v>682929395</v>
      </c>
      <c r="Y4">
        <v>2.6125</v>
      </c>
      <c r="AA4">
        <v>0</v>
      </c>
      <c r="AB4">
        <v>12.75</v>
      </c>
      <c r="AC4">
        <v>0</v>
      </c>
      <c r="AD4">
        <v>0</v>
      </c>
      <c r="AE4">
        <v>0</v>
      </c>
      <c r="AF4">
        <v>3</v>
      </c>
      <c r="AG4">
        <v>0</v>
      </c>
      <c r="AH4">
        <v>0</v>
      </c>
      <c r="AI4">
        <v>1</v>
      </c>
      <c r="AJ4">
        <v>4.25</v>
      </c>
      <c r="AK4">
        <v>31.7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T4">
        <v>2.09</v>
      </c>
      <c r="AU4" t="s">
        <v>19</v>
      </c>
      <c r="AV4">
        <v>0</v>
      </c>
      <c r="AW4">
        <v>2</v>
      </c>
      <c r="AX4">
        <v>45926720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0.31349999999999995</v>
      </c>
      <c r="CY4">
        <f>AB4</f>
        <v>12.75</v>
      </c>
      <c r="CZ4">
        <f>AF4</f>
        <v>3</v>
      </c>
      <c r="DA4">
        <f>AJ4</f>
        <v>4.25</v>
      </c>
      <c r="DB4">
        <v>0</v>
      </c>
    </row>
    <row r="5" spans="1:106" ht="12.75">
      <c r="A5">
        <f>ROW(Source!A24)</f>
        <v>24</v>
      </c>
      <c r="B5">
        <v>45926640</v>
      </c>
      <c r="C5">
        <v>45926697</v>
      </c>
      <c r="D5">
        <v>37726386</v>
      </c>
      <c r="E5">
        <v>1</v>
      </c>
      <c r="F5">
        <v>1</v>
      </c>
      <c r="G5">
        <v>1</v>
      </c>
      <c r="H5">
        <v>2</v>
      </c>
      <c r="I5" t="s">
        <v>345</v>
      </c>
      <c r="J5" t="s">
        <v>346</v>
      </c>
      <c r="K5" t="s">
        <v>347</v>
      </c>
      <c r="L5">
        <v>1368</v>
      </c>
      <c r="N5">
        <v>1011</v>
      </c>
      <c r="O5" t="s">
        <v>341</v>
      </c>
      <c r="P5" t="s">
        <v>341</v>
      </c>
      <c r="Q5">
        <v>1</v>
      </c>
      <c r="W5">
        <v>0</v>
      </c>
      <c r="X5">
        <v>2085738579</v>
      </c>
      <c r="Y5">
        <v>1.4874999999999998</v>
      </c>
      <c r="AA5">
        <v>0</v>
      </c>
      <c r="AB5">
        <v>31.87</v>
      </c>
      <c r="AC5">
        <v>0</v>
      </c>
      <c r="AD5">
        <v>0</v>
      </c>
      <c r="AE5">
        <v>0</v>
      </c>
      <c r="AF5">
        <v>2.08</v>
      </c>
      <c r="AG5">
        <v>0</v>
      </c>
      <c r="AH5">
        <v>0</v>
      </c>
      <c r="AI5">
        <v>1</v>
      </c>
      <c r="AJ5">
        <v>15.32</v>
      </c>
      <c r="AK5">
        <v>31.7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T5">
        <v>1.19</v>
      </c>
      <c r="AU5" t="s">
        <v>19</v>
      </c>
      <c r="AV5">
        <v>0</v>
      </c>
      <c r="AW5">
        <v>2</v>
      </c>
      <c r="AX5">
        <v>45926721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0.17849999999999996</v>
      </c>
      <c r="CY5">
        <f>AB5</f>
        <v>31.87</v>
      </c>
      <c r="CZ5">
        <f>AF5</f>
        <v>2.08</v>
      </c>
      <c r="DA5">
        <f>AJ5</f>
        <v>15.32</v>
      </c>
      <c r="DB5">
        <v>0</v>
      </c>
    </row>
    <row r="6" spans="1:106" ht="12.75">
      <c r="A6">
        <f>ROW(Source!A24)</f>
        <v>24</v>
      </c>
      <c r="B6">
        <v>45926640</v>
      </c>
      <c r="C6">
        <v>45926697</v>
      </c>
      <c r="D6">
        <v>37724547</v>
      </c>
      <c r="E6">
        <v>1</v>
      </c>
      <c r="F6">
        <v>1</v>
      </c>
      <c r="G6">
        <v>1</v>
      </c>
      <c r="H6">
        <v>3</v>
      </c>
      <c r="I6" t="s">
        <v>348</v>
      </c>
      <c r="J6" t="s">
        <v>349</v>
      </c>
      <c r="K6" t="s">
        <v>350</v>
      </c>
      <c r="L6">
        <v>1346</v>
      </c>
      <c r="N6">
        <v>1009</v>
      </c>
      <c r="O6" t="s">
        <v>351</v>
      </c>
      <c r="P6" t="s">
        <v>351</v>
      </c>
      <c r="Q6">
        <v>1</v>
      </c>
      <c r="W6">
        <v>0</v>
      </c>
      <c r="X6">
        <v>-881954291</v>
      </c>
      <c r="Y6">
        <v>0.57</v>
      </c>
      <c r="AA6">
        <v>60.74</v>
      </c>
      <c r="AB6">
        <v>0</v>
      </c>
      <c r="AC6">
        <v>0</v>
      </c>
      <c r="AD6">
        <v>0</v>
      </c>
      <c r="AE6">
        <v>46.72</v>
      </c>
      <c r="AF6">
        <v>0</v>
      </c>
      <c r="AG6">
        <v>0</v>
      </c>
      <c r="AH6">
        <v>0</v>
      </c>
      <c r="AI6">
        <v>1.3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0.57</v>
      </c>
      <c r="AV6">
        <v>0</v>
      </c>
      <c r="AW6">
        <v>2</v>
      </c>
      <c r="AX6">
        <v>45926722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0.06839999999999999</v>
      </c>
      <c r="CY6">
        <f aca="true" t="shared" si="0" ref="CY6:CY19">AA6</f>
        <v>60.74</v>
      </c>
      <c r="CZ6">
        <f aca="true" t="shared" si="1" ref="CZ6:CZ19">AE6</f>
        <v>46.72</v>
      </c>
      <c r="DA6">
        <f aca="true" t="shared" si="2" ref="DA6:DA19">AI6</f>
        <v>1.3</v>
      </c>
      <c r="DB6">
        <v>0</v>
      </c>
    </row>
    <row r="7" spans="1:106" ht="12.75">
      <c r="A7">
        <f>ROW(Source!A24)</f>
        <v>24</v>
      </c>
      <c r="B7">
        <v>45926640</v>
      </c>
      <c r="C7">
        <v>45926697</v>
      </c>
      <c r="D7">
        <v>37724557</v>
      </c>
      <c r="E7">
        <v>1</v>
      </c>
      <c r="F7">
        <v>1</v>
      </c>
      <c r="G7">
        <v>1</v>
      </c>
      <c r="H7">
        <v>3</v>
      </c>
      <c r="I7" t="s">
        <v>352</v>
      </c>
      <c r="J7" t="s">
        <v>353</v>
      </c>
      <c r="K7" t="s">
        <v>354</v>
      </c>
      <c r="L7">
        <v>1346</v>
      </c>
      <c r="N7">
        <v>1009</v>
      </c>
      <c r="O7" t="s">
        <v>351</v>
      </c>
      <c r="P7" t="s">
        <v>351</v>
      </c>
      <c r="Q7">
        <v>1</v>
      </c>
      <c r="W7">
        <v>0</v>
      </c>
      <c r="X7">
        <v>2016683564</v>
      </c>
      <c r="Y7">
        <v>41.4</v>
      </c>
      <c r="AA7">
        <v>16.31</v>
      </c>
      <c r="AB7">
        <v>0</v>
      </c>
      <c r="AC7">
        <v>0</v>
      </c>
      <c r="AD7">
        <v>0</v>
      </c>
      <c r="AE7">
        <v>4.36</v>
      </c>
      <c r="AF7">
        <v>0</v>
      </c>
      <c r="AG7">
        <v>0</v>
      </c>
      <c r="AH7">
        <v>0</v>
      </c>
      <c r="AI7">
        <v>3.74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41.4</v>
      </c>
      <c r="AV7">
        <v>0</v>
      </c>
      <c r="AW7">
        <v>2</v>
      </c>
      <c r="AX7">
        <v>45926723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4.968</v>
      </c>
      <c r="CY7">
        <f t="shared" si="0"/>
        <v>16.31</v>
      </c>
      <c r="CZ7">
        <f t="shared" si="1"/>
        <v>4.36</v>
      </c>
      <c r="DA7">
        <f t="shared" si="2"/>
        <v>3.74</v>
      </c>
      <c r="DB7">
        <v>0</v>
      </c>
    </row>
    <row r="8" spans="1:106" ht="12.75">
      <c r="A8">
        <f>ROW(Source!A24)</f>
        <v>24</v>
      </c>
      <c r="B8">
        <v>45926640</v>
      </c>
      <c r="C8">
        <v>45926697</v>
      </c>
      <c r="D8">
        <v>37724594</v>
      </c>
      <c r="E8">
        <v>1</v>
      </c>
      <c r="F8">
        <v>1</v>
      </c>
      <c r="G8">
        <v>1</v>
      </c>
      <c r="H8">
        <v>3</v>
      </c>
      <c r="I8" t="s">
        <v>355</v>
      </c>
      <c r="J8" t="s">
        <v>356</v>
      </c>
      <c r="K8" t="s">
        <v>357</v>
      </c>
      <c r="L8">
        <v>7577558</v>
      </c>
      <c r="N8">
        <v>1013</v>
      </c>
      <c r="O8" t="s">
        <v>163</v>
      </c>
      <c r="P8" t="s">
        <v>85</v>
      </c>
      <c r="Q8">
        <v>1</v>
      </c>
      <c r="W8">
        <v>0</v>
      </c>
      <c r="X8">
        <v>-841291087</v>
      </c>
      <c r="Y8">
        <v>130</v>
      </c>
      <c r="AA8">
        <v>1.23</v>
      </c>
      <c r="AB8">
        <v>0</v>
      </c>
      <c r="AC8">
        <v>0</v>
      </c>
      <c r="AD8">
        <v>0</v>
      </c>
      <c r="AE8">
        <v>0.17</v>
      </c>
      <c r="AF8">
        <v>0</v>
      </c>
      <c r="AG8">
        <v>0</v>
      </c>
      <c r="AH8">
        <v>0</v>
      </c>
      <c r="AI8">
        <v>7.24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130</v>
      </c>
      <c r="AV8">
        <v>0</v>
      </c>
      <c r="AW8">
        <v>2</v>
      </c>
      <c r="AX8">
        <v>45926724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Y8*Source!I24</f>
        <v>15.6</v>
      </c>
      <c r="CY8">
        <f t="shared" si="0"/>
        <v>1.23</v>
      </c>
      <c r="CZ8">
        <f t="shared" si="1"/>
        <v>0.17</v>
      </c>
      <c r="DA8">
        <f t="shared" si="2"/>
        <v>7.24</v>
      </c>
      <c r="DB8">
        <v>0</v>
      </c>
    </row>
    <row r="9" spans="1:106" ht="12.75">
      <c r="A9">
        <f>ROW(Source!A24)</f>
        <v>24</v>
      </c>
      <c r="B9">
        <v>45926640</v>
      </c>
      <c r="C9">
        <v>45926697</v>
      </c>
      <c r="D9">
        <v>37724598</v>
      </c>
      <c r="E9">
        <v>1</v>
      </c>
      <c r="F9">
        <v>1</v>
      </c>
      <c r="G9">
        <v>1</v>
      </c>
      <c r="H9">
        <v>3</v>
      </c>
      <c r="I9" t="s">
        <v>358</v>
      </c>
      <c r="J9" t="s">
        <v>359</v>
      </c>
      <c r="K9" t="s">
        <v>360</v>
      </c>
      <c r="L9">
        <v>33546215</v>
      </c>
      <c r="N9">
        <v>1013</v>
      </c>
      <c r="O9" t="s">
        <v>155</v>
      </c>
      <c r="P9" t="s">
        <v>157</v>
      </c>
      <c r="Q9">
        <v>1</v>
      </c>
      <c r="W9">
        <v>0</v>
      </c>
      <c r="X9">
        <v>892395235</v>
      </c>
      <c r="Y9">
        <v>0.3333</v>
      </c>
      <c r="AA9">
        <v>1550.34</v>
      </c>
      <c r="AB9">
        <v>0</v>
      </c>
      <c r="AC9">
        <v>0</v>
      </c>
      <c r="AD9">
        <v>0</v>
      </c>
      <c r="AE9">
        <v>174</v>
      </c>
      <c r="AF9">
        <v>0</v>
      </c>
      <c r="AG9">
        <v>0</v>
      </c>
      <c r="AH9">
        <v>0</v>
      </c>
      <c r="AI9">
        <v>8.91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0.3333</v>
      </c>
      <c r="AV9">
        <v>0</v>
      </c>
      <c r="AW9">
        <v>2</v>
      </c>
      <c r="AX9">
        <v>45926725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Y9*Source!I24</f>
        <v>0.039996</v>
      </c>
      <c r="CY9">
        <f t="shared" si="0"/>
        <v>1550.34</v>
      </c>
      <c r="CZ9">
        <f t="shared" si="1"/>
        <v>174</v>
      </c>
      <c r="DA9">
        <f t="shared" si="2"/>
        <v>8.91</v>
      </c>
      <c r="DB9">
        <v>0</v>
      </c>
    </row>
    <row r="10" spans="1:106" ht="12.75">
      <c r="A10">
        <f>ROW(Source!A24)</f>
        <v>24</v>
      </c>
      <c r="B10">
        <v>45926640</v>
      </c>
      <c r="C10">
        <v>45926697</v>
      </c>
      <c r="D10">
        <v>37724601</v>
      </c>
      <c r="E10">
        <v>1</v>
      </c>
      <c r="F10">
        <v>1</v>
      </c>
      <c r="G10">
        <v>1</v>
      </c>
      <c r="H10">
        <v>3</v>
      </c>
      <c r="I10" t="s">
        <v>361</v>
      </c>
      <c r="J10" t="s">
        <v>362</v>
      </c>
      <c r="K10" t="s">
        <v>363</v>
      </c>
      <c r="L10">
        <v>7577558</v>
      </c>
      <c r="N10">
        <v>1013</v>
      </c>
      <c r="O10" t="s">
        <v>163</v>
      </c>
      <c r="P10" t="s">
        <v>85</v>
      </c>
      <c r="Q10">
        <v>1</v>
      </c>
      <c r="W10">
        <v>0</v>
      </c>
      <c r="X10">
        <v>195016935</v>
      </c>
      <c r="Y10">
        <v>93.81</v>
      </c>
      <c r="AA10">
        <v>4.51</v>
      </c>
      <c r="AB10">
        <v>0</v>
      </c>
      <c r="AC10">
        <v>0</v>
      </c>
      <c r="AD10">
        <v>0</v>
      </c>
      <c r="AE10">
        <v>0.6</v>
      </c>
      <c r="AF10">
        <v>0</v>
      </c>
      <c r="AG10">
        <v>0</v>
      </c>
      <c r="AH10">
        <v>0</v>
      </c>
      <c r="AI10">
        <v>7.52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93.81</v>
      </c>
      <c r="AV10">
        <v>0</v>
      </c>
      <c r="AW10">
        <v>2</v>
      </c>
      <c r="AX10">
        <v>45926726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Y10*Source!I24</f>
        <v>11.2572</v>
      </c>
      <c r="CY10">
        <f t="shared" si="0"/>
        <v>4.51</v>
      </c>
      <c r="CZ10">
        <f t="shared" si="1"/>
        <v>0.6</v>
      </c>
      <c r="DA10">
        <f t="shared" si="2"/>
        <v>7.52</v>
      </c>
      <c r="DB10">
        <v>0</v>
      </c>
    </row>
    <row r="11" spans="1:106" ht="12.75">
      <c r="A11">
        <f>ROW(Source!A24)</f>
        <v>24</v>
      </c>
      <c r="B11">
        <v>45926640</v>
      </c>
      <c r="C11">
        <v>45926697</v>
      </c>
      <c r="D11">
        <v>30621443</v>
      </c>
      <c r="E11">
        <v>1</v>
      </c>
      <c r="F11">
        <v>1</v>
      </c>
      <c r="G11">
        <v>1</v>
      </c>
      <c r="H11">
        <v>3</v>
      </c>
      <c r="I11" t="s">
        <v>28</v>
      </c>
      <c r="J11" t="s">
        <v>31</v>
      </c>
      <c r="K11" t="s">
        <v>29</v>
      </c>
      <c r="L11">
        <v>1327</v>
      </c>
      <c r="N11">
        <v>1005</v>
      </c>
      <c r="O11" t="s">
        <v>30</v>
      </c>
      <c r="P11" t="s">
        <v>30</v>
      </c>
      <c r="Q11">
        <v>1</v>
      </c>
      <c r="W11">
        <v>0</v>
      </c>
      <c r="X11">
        <v>-716222595</v>
      </c>
      <c r="Y11">
        <v>105</v>
      </c>
      <c r="AA11">
        <v>82.74</v>
      </c>
      <c r="AB11">
        <v>0</v>
      </c>
      <c r="AC11">
        <v>0</v>
      </c>
      <c r="AD11">
        <v>0</v>
      </c>
      <c r="AE11">
        <v>15.38</v>
      </c>
      <c r="AF11">
        <v>0</v>
      </c>
      <c r="AG11">
        <v>0</v>
      </c>
      <c r="AH11">
        <v>0</v>
      </c>
      <c r="AI11">
        <v>5.38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T11">
        <v>105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Y11*Source!I24</f>
        <v>12.6</v>
      </c>
      <c r="CY11">
        <f t="shared" si="0"/>
        <v>82.74</v>
      </c>
      <c r="CZ11">
        <f t="shared" si="1"/>
        <v>15.38</v>
      </c>
      <c r="DA11">
        <f t="shared" si="2"/>
        <v>5.38</v>
      </c>
      <c r="DB11">
        <v>0</v>
      </c>
    </row>
    <row r="12" spans="1:106" ht="12.75">
      <c r="A12">
        <f>ROW(Source!A24)</f>
        <v>24</v>
      </c>
      <c r="B12">
        <v>45926640</v>
      </c>
      <c r="C12">
        <v>45926697</v>
      </c>
      <c r="D12">
        <v>37724800</v>
      </c>
      <c r="E12">
        <v>1</v>
      </c>
      <c r="F12">
        <v>1</v>
      </c>
      <c r="G12">
        <v>1</v>
      </c>
      <c r="H12">
        <v>3</v>
      </c>
      <c r="I12" t="s">
        <v>364</v>
      </c>
      <c r="J12" t="s">
        <v>365</v>
      </c>
      <c r="K12" t="s">
        <v>366</v>
      </c>
      <c r="L12">
        <v>1355</v>
      </c>
      <c r="N12">
        <v>1010</v>
      </c>
      <c r="O12" t="s">
        <v>206</v>
      </c>
      <c r="P12" t="s">
        <v>206</v>
      </c>
      <c r="Q12">
        <v>100</v>
      </c>
      <c r="W12">
        <v>0</v>
      </c>
      <c r="X12">
        <v>-129270981</v>
      </c>
      <c r="Y12">
        <v>4.29</v>
      </c>
      <c r="AA12">
        <v>21.4</v>
      </c>
      <c r="AB12">
        <v>0</v>
      </c>
      <c r="AC12">
        <v>0</v>
      </c>
      <c r="AD12">
        <v>0</v>
      </c>
      <c r="AE12">
        <v>2</v>
      </c>
      <c r="AF12">
        <v>0</v>
      </c>
      <c r="AG12">
        <v>0</v>
      </c>
      <c r="AH12">
        <v>0</v>
      </c>
      <c r="AI12">
        <v>10.7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4.29</v>
      </c>
      <c r="AV12">
        <v>0</v>
      </c>
      <c r="AW12">
        <v>2</v>
      </c>
      <c r="AX12">
        <v>45926727</v>
      </c>
      <c r="AY12">
        <v>1</v>
      </c>
      <c r="AZ12">
        <v>0</v>
      </c>
      <c r="BA12">
        <v>11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Y12*Source!I24</f>
        <v>0.5148</v>
      </c>
      <c r="CY12">
        <f t="shared" si="0"/>
        <v>21.4</v>
      </c>
      <c r="CZ12">
        <f t="shared" si="1"/>
        <v>2</v>
      </c>
      <c r="DA12">
        <f t="shared" si="2"/>
        <v>10.7</v>
      </c>
      <c r="DB12">
        <v>0</v>
      </c>
    </row>
    <row r="13" spans="1:106" ht="12.75">
      <c r="A13">
        <f>ROW(Source!A24)</f>
        <v>24</v>
      </c>
      <c r="B13">
        <v>45926640</v>
      </c>
      <c r="C13">
        <v>45926697</v>
      </c>
      <c r="D13">
        <v>37724801</v>
      </c>
      <c r="E13">
        <v>1</v>
      </c>
      <c r="F13">
        <v>1</v>
      </c>
      <c r="G13">
        <v>1</v>
      </c>
      <c r="H13">
        <v>3</v>
      </c>
      <c r="I13" t="s">
        <v>367</v>
      </c>
      <c r="J13" t="s">
        <v>368</v>
      </c>
      <c r="K13" t="s">
        <v>369</v>
      </c>
      <c r="L13">
        <v>1355</v>
      </c>
      <c r="N13">
        <v>1010</v>
      </c>
      <c r="O13" t="s">
        <v>206</v>
      </c>
      <c r="P13" t="s">
        <v>206</v>
      </c>
      <c r="Q13">
        <v>100</v>
      </c>
      <c r="W13">
        <v>0</v>
      </c>
      <c r="X13">
        <v>148780981</v>
      </c>
      <c r="Y13">
        <v>16.67</v>
      </c>
      <c r="AA13">
        <v>29.4</v>
      </c>
      <c r="AB13">
        <v>0</v>
      </c>
      <c r="AC13">
        <v>0</v>
      </c>
      <c r="AD13">
        <v>0</v>
      </c>
      <c r="AE13">
        <v>2</v>
      </c>
      <c r="AF13">
        <v>0</v>
      </c>
      <c r="AG13">
        <v>0</v>
      </c>
      <c r="AH13">
        <v>0</v>
      </c>
      <c r="AI13">
        <v>14.7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16.67</v>
      </c>
      <c r="AV13">
        <v>0</v>
      </c>
      <c r="AW13">
        <v>2</v>
      </c>
      <c r="AX13">
        <v>45926728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Y13*Source!I24</f>
        <v>2.0004</v>
      </c>
      <c r="CY13">
        <f t="shared" si="0"/>
        <v>29.4</v>
      </c>
      <c r="CZ13">
        <f t="shared" si="1"/>
        <v>2</v>
      </c>
      <c r="DA13">
        <f t="shared" si="2"/>
        <v>14.7</v>
      </c>
      <c r="DB13">
        <v>0</v>
      </c>
    </row>
    <row r="14" spans="1:106" ht="12.75">
      <c r="A14">
        <f>ROW(Source!A24)</f>
        <v>24</v>
      </c>
      <c r="B14">
        <v>45926640</v>
      </c>
      <c r="C14">
        <v>45926697</v>
      </c>
      <c r="D14">
        <v>37724794</v>
      </c>
      <c r="E14">
        <v>1</v>
      </c>
      <c r="F14">
        <v>1</v>
      </c>
      <c r="G14">
        <v>1</v>
      </c>
      <c r="H14">
        <v>3</v>
      </c>
      <c r="I14" t="s">
        <v>370</v>
      </c>
      <c r="J14" t="s">
        <v>371</v>
      </c>
      <c r="K14" t="s">
        <v>372</v>
      </c>
      <c r="L14">
        <v>1355</v>
      </c>
      <c r="N14">
        <v>1010</v>
      </c>
      <c r="O14" t="s">
        <v>206</v>
      </c>
      <c r="P14" t="s">
        <v>206</v>
      </c>
      <c r="Q14">
        <v>100</v>
      </c>
      <c r="W14">
        <v>0</v>
      </c>
      <c r="X14">
        <v>-1014672474</v>
      </c>
      <c r="Y14">
        <v>3.53</v>
      </c>
      <c r="AA14">
        <v>32.13</v>
      </c>
      <c r="AB14">
        <v>0</v>
      </c>
      <c r="AC14">
        <v>0</v>
      </c>
      <c r="AD14">
        <v>0</v>
      </c>
      <c r="AE14">
        <v>7</v>
      </c>
      <c r="AF14">
        <v>0</v>
      </c>
      <c r="AG14">
        <v>0</v>
      </c>
      <c r="AH14">
        <v>0</v>
      </c>
      <c r="AI14">
        <v>4.59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3.53</v>
      </c>
      <c r="AV14">
        <v>0</v>
      </c>
      <c r="AW14">
        <v>2</v>
      </c>
      <c r="AX14">
        <v>45926729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Y14*Source!I24</f>
        <v>0.4236</v>
      </c>
      <c r="CY14">
        <f t="shared" si="0"/>
        <v>32.13</v>
      </c>
      <c r="CZ14">
        <f t="shared" si="1"/>
        <v>7</v>
      </c>
      <c r="DA14">
        <f t="shared" si="2"/>
        <v>4.59</v>
      </c>
      <c r="DB14">
        <v>0</v>
      </c>
    </row>
    <row r="15" spans="1:106" ht="12.75">
      <c r="A15">
        <f>ROW(Source!A24)</f>
        <v>24</v>
      </c>
      <c r="B15">
        <v>45926640</v>
      </c>
      <c r="C15">
        <v>45926697</v>
      </c>
      <c r="D15">
        <v>37725109</v>
      </c>
      <c r="E15">
        <v>1</v>
      </c>
      <c r="F15">
        <v>1</v>
      </c>
      <c r="G15">
        <v>1</v>
      </c>
      <c r="H15">
        <v>3</v>
      </c>
      <c r="I15" t="s">
        <v>373</v>
      </c>
      <c r="J15" t="s">
        <v>374</v>
      </c>
      <c r="K15" t="s">
        <v>375</v>
      </c>
      <c r="L15">
        <v>7577558</v>
      </c>
      <c r="N15">
        <v>1013</v>
      </c>
      <c r="O15" t="s">
        <v>163</v>
      </c>
      <c r="P15" t="s">
        <v>85</v>
      </c>
      <c r="Q15">
        <v>1</v>
      </c>
      <c r="W15">
        <v>0</v>
      </c>
      <c r="X15">
        <v>-989505914</v>
      </c>
      <c r="Y15">
        <v>80.95</v>
      </c>
      <c r="AA15">
        <v>36.95</v>
      </c>
      <c r="AB15">
        <v>0</v>
      </c>
      <c r="AC15">
        <v>0</v>
      </c>
      <c r="AD15">
        <v>0</v>
      </c>
      <c r="AE15">
        <v>4.18</v>
      </c>
      <c r="AF15">
        <v>0</v>
      </c>
      <c r="AG15">
        <v>0</v>
      </c>
      <c r="AH15">
        <v>0</v>
      </c>
      <c r="AI15">
        <v>8.84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80.95</v>
      </c>
      <c r="AV15">
        <v>0</v>
      </c>
      <c r="AW15">
        <v>2</v>
      </c>
      <c r="AX15">
        <v>45926731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Y15*Source!I24</f>
        <v>9.714</v>
      </c>
      <c r="CY15">
        <f t="shared" si="0"/>
        <v>36.95</v>
      </c>
      <c r="CZ15">
        <f t="shared" si="1"/>
        <v>4.18</v>
      </c>
      <c r="DA15">
        <f t="shared" si="2"/>
        <v>8.84</v>
      </c>
      <c r="DB15">
        <v>0</v>
      </c>
    </row>
    <row r="16" spans="1:106" ht="12.75">
      <c r="A16">
        <f>ROW(Source!A24)</f>
        <v>24</v>
      </c>
      <c r="B16">
        <v>45926640</v>
      </c>
      <c r="C16">
        <v>45926697</v>
      </c>
      <c r="D16">
        <v>37725110</v>
      </c>
      <c r="E16">
        <v>1</v>
      </c>
      <c r="F16">
        <v>1</v>
      </c>
      <c r="G16">
        <v>1</v>
      </c>
      <c r="H16">
        <v>3</v>
      </c>
      <c r="I16" t="s">
        <v>376</v>
      </c>
      <c r="J16" t="s">
        <v>377</v>
      </c>
      <c r="K16" t="s">
        <v>378</v>
      </c>
      <c r="L16">
        <v>7577558</v>
      </c>
      <c r="N16">
        <v>1013</v>
      </c>
      <c r="O16" t="s">
        <v>163</v>
      </c>
      <c r="P16" t="s">
        <v>85</v>
      </c>
      <c r="Q16">
        <v>1</v>
      </c>
      <c r="W16">
        <v>0</v>
      </c>
      <c r="X16">
        <v>-780441461</v>
      </c>
      <c r="Y16">
        <v>171.83</v>
      </c>
      <c r="AA16">
        <v>41.73</v>
      </c>
      <c r="AB16">
        <v>0</v>
      </c>
      <c r="AC16">
        <v>0</v>
      </c>
      <c r="AD16">
        <v>0</v>
      </c>
      <c r="AE16">
        <v>5.74</v>
      </c>
      <c r="AF16">
        <v>0</v>
      </c>
      <c r="AG16">
        <v>0</v>
      </c>
      <c r="AH16">
        <v>0</v>
      </c>
      <c r="AI16">
        <v>7.27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171.83</v>
      </c>
      <c r="AV16">
        <v>0</v>
      </c>
      <c r="AW16">
        <v>2</v>
      </c>
      <c r="AX16">
        <v>45926732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Y16*Source!I24</f>
        <v>20.619600000000002</v>
      </c>
      <c r="CY16">
        <f t="shared" si="0"/>
        <v>41.73</v>
      </c>
      <c r="CZ16">
        <f t="shared" si="1"/>
        <v>5.74</v>
      </c>
      <c r="DA16">
        <f t="shared" si="2"/>
        <v>7.27</v>
      </c>
      <c r="DB16">
        <v>0</v>
      </c>
    </row>
    <row r="17" spans="1:106" ht="12.75">
      <c r="A17">
        <f>ROW(Source!A24)</f>
        <v>24</v>
      </c>
      <c r="B17">
        <v>45926640</v>
      </c>
      <c r="C17">
        <v>45926697</v>
      </c>
      <c r="D17">
        <v>37725116</v>
      </c>
      <c r="E17">
        <v>1</v>
      </c>
      <c r="F17">
        <v>1</v>
      </c>
      <c r="G17">
        <v>1</v>
      </c>
      <c r="H17">
        <v>3</v>
      </c>
      <c r="I17" t="s">
        <v>379</v>
      </c>
      <c r="J17" t="s">
        <v>380</v>
      </c>
      <c r="K17" t="s">
        <v>381</v>
      </c>
      <c r="L17">
        <v>1355</v>
      </c>
      <c r="N17">
        <v>1010</v>
      </c>
      <c r="O17" t="s">
        <v>206</v>
      </c>
      <c r="P17" t="s">
        <v>206</v>
      </c>
      <c r="Q17">
        <v>100</v>
      </c>
      <c r="W17">
        <v>0</v>
      </c>
      <c r="X17">
        <v>1712351129</v>
      </c>
      <c r="Y17">
        <v>2.14</v>
      </c>
      <c r="AA17">
        <v>588.59</v>
      </c>
      <c r="AB17">
        <v>0</v>
      </c>
      <c r="AC17">
        <v>0</v>
      </c>
      <c r="AD17">
        <v>0</v>
      </c>
      <c r="AE17">
        <v>71</v>
      </c>
      <c r="AF17">
        <v>0</v>
      </c>
      <c r="AG17">
        <v>0</v>
      </c>
      <c r="AH17">
        <v>0</v>
      </c>
      <c r="AI17">
        <v>8.29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2.14</v>
      </c>
      <c r="AV17">
        <v>0</v>
      </c>
      <c r="AW17">
        <v>2</v>
      </c>
      <c r="AX17">
        <v>45926733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Y17*Source!I24</f>
        <v>0.25680000000000003</v>
      </c>
      <c r="CY17">
        <f t="shared" si="0"/>
        <v>588.59</v>
      </c>
      <c r="CZ17">
        <f t="shared" si="1"/>
        <v>71</v>
      </c>
      <c r="DA17">
        <f t="shared" si="2"/>
        <v>8.29</v>
      </c>
      <c r="DB17">
        <v>0</v>
      </c>
    </row>
    <row r="18" spans="1:106" ht="12.75">
      <c r="A18">
        <f>ROW(Source!A24)</f>
        <v>24</v>
      </c>
      <c r="B18">
        <v>45926640</v>
      </c>
      <c r="C18">
        <v>45926697</v>
      </c>
      <c r="D18">
        <v>37725113</v>
      </c>
      <c r="E18">
        <v>1</v>
      </c>
      <c r="F18">
        <v>1</v>
      </c>
      <c r="G18">
        <v>1</v>
      </c>
      <c r="H18">
        <v>3</v>
      </c>
      <c r="I18" t="s">
        <v>382</v>
      </c>
      <c r="J18" t="s">
        <v>383</v>
      </c>
      <c r="K18" t="s">
        <v>384</v>
      </c>
      <c r="L18">
        <v>1355</v>
      </c>
      <c r="N18">
        <v>1010</v>
      </c>
      <c r="O18" t="s">
        <v>206</v>
      </c>
      <c r="P18" t="s">
        <v>206</v>
      </c>
      <c r="Q18">
        <v>100</v>
      </c>
      <c r="W18">
        <v>0</v>
      </c>
      <c r="X18">
        <v>-1983476760</v>
      </c>
      <c r="Y18">
        <v>0.36</v>
      </c>
      <c r="AA18">
        <v>1246.56</v>
      </c>
      <c r="AB18">
        <v>0</v>
      </c>
      <c r="AC18">
        <v>0</v>
      </c>
      <c r="AD18">
        <v>0</v>
      </c>
      <c r="AE18">
        <v>168</v>
      </c>
      <c r="AF18">
        <v>0</v>
      </c>
      <c r="AG18">
        <v>0</v>
      </c>
      <c r="AH18">
        <v>0</v>
      </c>
      <c r="AI18">
        <v>7.42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0.36</v>
      </c>
      <c r="AV18">
        <v>0</v>
      </c>
      <c r="AW18">
        <v>2</v>
      </c>
      <c r="AX18">
        <v>45926734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Y18*Source!I24</f>
        <v>0.043199999999999995</v>
      </c>
      <c r="CY18">
        <f t="shared" si="0"/>
        <v>1246.56</v>
      </c>
      <c r="CZ18">
        <f t="shared" si="1"/>
        <v>168</v>
      </c>
      <c r="DA18">
        <f t="shared" si="2"/>
        <v>7.42</v>
      </c>
      <c r="DB18">
        <v>0</v>
      </c>
    </row>
    <row r="19" spans="1:106" ht="12.75">
      <c r="A19">
        <f>ROW(Source!A24)</f>
        <v>24</v>
      </c>
      <c r="B19">
        <v>45926640</v>
      </c>
      <c r="C19">
        <v>45926697</v>
      </c>
      <c r="D19">
        <v>37725428</v>
      </c>
      <c r="E19">
        <v>1</v>
      </c>
      <c r="F19">
        <v>1</v>
      </c>
      <c r="G19">
        <v>1</v>
      </c>
      <c r="H19">
        <v>3</v>
      </c>
      <c r="I19" t="s">
        <v>385</v>
      </c>
      <c r="J19" t="s">
        <v>386</v>
      </c>
      <c r="K19" t="s">
        <v>387</v>
      </c>
      <c r="L19">
        <v>1339</v>
      </c>
      <c r="N19">
        <v>1007</v>
      </c>
      <c r="O19" t="s">
        <v>388</v>
      </c>
      <c r="P19" t="s">
        <v>388</v>
      </c>
      <c r="Q19">
        <v>1</v>
      </c>
      <c r="W19">
        <v>0</v>
      </c>
      <c r="X19">
        <v>1536317706</v>
      </c>
      <c r="Y19">
        <v>0.035</v>
      </c>
      <c r="AA19">
        <v>22.2</v>
      </c>
      <c r="AB19">
        <v>0</v>
      </c>
      <c r="AC19">
        <v>0</v>
      </c>
      <c r="AD19">
        <v>0</v>
      </c>
      <c r="AE19">
        <v>2.44</v>
      </c>
      <c r="AF19">
        <v>0</v>
      </c>
      <c r="AG19">
        <v>0</v>
      </c>
      <c r="AH19">
        <v>0</v>
      </c>
      <c r="AI19">
        <v>9.1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0.035</v>
      </c>
      <c r="AV19">
        <v>0</v>
      </c>
      <c r="AW19">
        <v>2</v>
      </c>
      <c r="AX19">
        <v>45926735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Y19*Source!I24</f>
        <v>0.004200000000000001</v>
      </c>
      <c r="CY19">
        <f t="shared" si="0"/>
        <v>22.2</v>
      </c>
      <c r="CZ19">
        <f t="shared" si="1"/>
        <v>2.44</v>
      </c>
      <c r="DA19">
        <f t="shared" si="2"/>
        <v>9.1</v>
      </c>
      <c r="DB19">
        <v>0</v>
      </c>
    </row>
    <row r="20" spans="1:106" ht="12.75">
      <c r="A20">
        <f>ROW(Source!A26)</f>
        <v>26</v>
      </c>
      <c r="B20">
        <v>45926640</v>
      </c>
      <c r="C20">
        <v>45926737</v>
      </c>
      <c r="D20">
        <v>13671681</v>
      </c>
      <c r="E20">
        <v>1</v>
      </c>
      <c r="F20">
        <v>1</v>
      </c>
      <c r="G20">
        <v>1</v>
      </c>
      <c r="H20">
        <v>1</v>
      </c>
      <c r="I20" t="s">
        <v>389</v>
      </c>
      <c r="K20" t="s">
        <v>390</v>
      </c>
      <c r="L20">
        <v>1369</v>
      </c>
      <c r="N20">
        <v>1013</v>
      </c>
      <c r="O20" t="s">
        <v>335</v>
      </c>
      <c r="P20" t="s">
        <v>335</v>
      </c>
      <c r="Q20">
        <v>1</v>
      </c>
      <c r="W20">
        <v>0</v>
      </c>
      <c r="X20">
        <v>355262106</v>
      </c>
      <c r="Y20">
        <v>119.922</v>
      </c>
      <c r="AA20">
        <v>0</v>
      </c>
      <c r="AB20">
        <v>0</v>
      </c>
      <c r="AC20">
        <v>0</v>
      </c>
      <c r="AD20">
        <v>9.18</v>
      </c>
      <c r="AE20">
        <v>0</v>
      </c>
      <c r="AF20">
        <v>0</v>
      </c>
      <c r="AG20">
        <v>0</v>
      </c>
      <c r="AH20">
        <v>9.18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104.28</v>
      </c>
      <c r="AU20" t="s">
        <v>20</v>
      </c>
      <c r="AV20">
        <v>1</v>
      </c>
      <c r="AW20">
        <v>2</v>
      </c>
      <c r="AX20">
        <v>45926755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Y20*Source!I26</f>
        <v>2.878128</v>
      </c>
      <c r="CY20">
        <f>AD20</f>
        <v>9.18</v>
      </c>
      <c r="CZ20">
        <f>AH20</f>
        <v>9.18</v>
      </c>
      <c r="DA20">
        <f>AL20</f>
        <v>1</v>
      </c>
      <c r="DB20">
        <v>0</v>
      </c>
    </row>
    <row r="21" spans="1:106" ht="12.75">
      <c r="A21">
        <f>ROW(Source!A26)</f>
        <v>26</v>
      </c>
      <c r="B21">
        <v>45926640</v>
      </c>
      <c r="C21">
        <v>45926737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32</v>
      </c>
      <c r="K21" t="s">
        <v>336</v>
      </c>
      <c r="L21">
        <v>608254</v>
      </c>
      <c r="N21">
        <v>1013</v>
      </c>
      <c r="O21" t="s">
        <v>337</v>
      </c>
      <c r="P21" t="s">
        <v>337</v>
      </c>
      <c r="Q21">
        <v>1</v>
      </c>
      <c r="W21">
        <v>0</v>
      </c>
      <c r="X21">
        <v>-185737400</v>
      </c>
      <c r="Y21">
        <v>14.1875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11.35</v>
      </c>
      <c r="AU21" t="s">
        <v>19</v>
      </c>
      <c r="AV21">
        <v>2</v>
      </c>
      <c r="AW21">
        <v>2</v>
      </c>
      <c r="AX21">
        <v>45926756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Y21*Source!I26</f>
        <v>0.3405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ht="12.75">
      <c r="A22">
        <f>ROW(Source!A26)</f>
        <v>26</v>
      </c>
      <c r="B22">
        <v>45926640</v>
      </c>
      <c r="C22">
        <v>45926737</v>
      </c>
      <c r="D22">
        <v>30682255</v>
      </c>
      <c r="E22">
        <v>1</v>
      </c>
      <c r="F22">
        <v>1</v>
      </c>
      <c r="G22">
        <v>1</v>
      </c>
      <c r="H22">
        <v>2</v>
      </c>
      <c r="I22" t="s">
        <v>391</v>
      </c>
      <c r="J22" t="s">
        <v>392</v>
      </c>
      <c r="K22" t="s">
        <v>393</v>
      </c>
      <c r="L22">
        <v>1368</v>
      </c>
      <c r="N22">
        <v>1011</v>
      </c>
      <c r="O22" t="s">
        <v>341</v>
      </c>
      <c r="P22" t="s">
        <v>341</v>
      </c>
      <c r="Q22">
        <v>1</v>
      </c>
      <c r="W22">
        <v>0</v>
      </c>
      <c r="X22">
        <v>-1117034689</v>
      </c>
      <c r="Y22">
        <v>12.112499999999999</v>
      </c>
      <c r="AA22">
        <v>0</v>
      </c>
      <c r="AB22">
        <v>867.46</v>
      </c>
      <c r="AC22">
        <v>427.95</v>
      </c>
      <c r="AD22">
        <v>0</v>
      </c>
      <c r="AE22">
        <v>0</v>
      </c>
      <c r="AF22">
        <v>86.4</v>
      </c>
      <c r="AG22">
        <v>13.5</v>
      </c>
      <c r="AH22">
        <v>0</v>
      </c>
      <c r="AI22">
        <v>1</v>
      </c>
      <c r="AJ22">
        <v>10.04</v>
      </c>
      <c r="AK22">
        <v>31.7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9.69</v>
      </c>
      <c r="AU22" t="s">
        <v>19</v>
      </c>
      <c r="AV22">
        <v>0</v>
      </c>
      <c r="AW22">
        <v>2</v>
      </c>
      <c r="AX22">
        <v>45926757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Y22*Source!I26</f>
        <v>0.29069999999999996</v>
      </c>
      <c r="CY22">
        <f>AB22</f>
        <v>867.46</v>
      </c>
      <c r="CZ22">
        <f>AF22</f>
        <v>86.4</v>
      </c>
      <c r="DA22">
        <f>AJ22</f>
        <v>10.04</v>
      </c>
      <c r="DB22">
        <v>0</v>
      </c>
    </row>
    <row r="23" spans="1:106" ht="12.75">
      <c r="A23">
        <f>ROW(Source!A26)</f>
        <v>26</v>
      </c>
      <c r="B23">
        <v>45926640</v>
      </c>
      <c r="C23">
        <v>45926737</v>
      </c>
      <c r="D23">
        <v>30682366</v>
      </c>
      <c r="E23">
        <v>1</v>
      </c>
      <c r="F23">
        <v>1</v>
      </c>
      <c r="G23">
        <v>1</v>
      </c>
      <c r="H23">
        <v>2</v>
      </c>
      <c r="I23" t="s">
        <v>394</v>
      </c>
      <c r="J23" t="s">
        <v>395</v>
      </c>
      <c r="K23" t="s">
        <v>396</v>
      </c>
      <c r="L23">
        <v>1368</v>
      </c>
      <c r="N23">
        <v>1011</v>
      </c>
      <c r="O23" t="s">
        <v>341</v>
      </c>
      <c r="P23" t="s">
        <v>341</v>
      </c>
      <c r="Q23">
        <v>1</v>
      </c>
      <c r="W23">
        <v>0</v>
      </c>
      <c r="X23">
        <v>-151619853</v>
      </c>
      <c r="Y23">
        <v>2.0749999999999997</v>
      </c>
      <c r="AA23">
        <v>0</v>
      </c>
      <c r="AB23">
        <v>1076.32</v>
      </c>
      <c r="AC23">
        <v>427.95</v>
      </c>
      <c r="AD23">
        <v>0</v>
      </c>
      <c r="AE23">
        <v>0</v>
      </c>
      <c r="AF23">
        <v>112</v>
      </c>
      <c r="AG23">
        <v>13.5</v>
      </c>
      <c r="AH23">
        <v>0</v>
      </c>
      <c r="AI23">
        <v>1</v>
      </c>
      <c r="AJ23">
        <v>9.61</v>
      </c>
      <c r="AK23">
        <v>31.7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1.66</v>
      </c>
      <c r="AU23" t="s">
        <v>19</v>
      </c>
      <c r="AV23">
        <v>0</v>
      </c>
      <c r="AW23">
        <v>2</v>
      </c>
      <c r="AX23">
        <v>45926758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Y23*Source!I26</f>
        <v>0.0498</v>
      </c>
      <c r="CY23">
        <f>AB23</f>
        <v>1076.32</v>
      </c>
      <c r="CZ23">
        <f>AF23</f>
        <v>112</v>
      </c>
      <c r="DA23">
        <f>AJ23</f>
        <v>9.61</v>
      </c>
      <c r="DB23">
        <v>0</v>
      </c>
    </row>
    <row r="24" spans="1:106" ht="12.75">
      <c r="A24">
        <f>ROW(Source!A26)</f>
        <v>26</v>
      </c>
      <c r="B24">
        <v>45926640</v>
      </c>
      <c r="C24">
        <v>45926737</v>
      </c>
      <c r="D24">
        <v>30683240</v>
      </c>
      <c r="E24">
        <v>1</v>
      </c>
      <c r="F24">
        <v>1</v>
      </c>
      <c r="G24">
        <v>1</v>
      </c>
      <c r="H24">
        <v>2</v>
      </c>
      <c r="I24" t="s">
        <v>397</v>
      </c>
      <c r="J24" t="s">
        <v>398</v>
      </c>
      <c r="K24" t="s">
        <v>399</v>
      </c>
      <c r="L24">
        <v>1368</v>
      </c>
      <c r="N24">
        <v>1011</v>
      </c>
      <c r="O24" t="s">
        <v>341</v>
      </c>
      <c r="P24" t="s">
        <v>341</v>
      </c>
      <c r="Q24">
        <v>1</v>
      </c>
      <c r="W24">
        <v>0</v>
      </c>
      <c r="X24">
        <v>1507480458</v>
      </c>
      <c r="Y24">
        <v>2.2375</v>
      </c>
      <c r="AA24">
        <v>0</v>
      </c>
      <c r="AB24">
        <v>124.8</v>
      </c>
      <c r="AC24">
        <v>0</v>
      </c>
      <c r="AD24">
        <v>0</v>
      </c>
      <c r="AE24">
        <v>0</v>
      </c>
      <c r="AF24">
        <v>30</v>
      </c>
      <c r="AG24">
        <v>0</v>
      </c>
      <c r="AH24">
        <v>0</v>
      </c>
      <c r="AI24">
        <v>1</v>
      </c>
      <c r="AJ24">
        <v>4.16</v>
      </c>
      <c r="AK24">
        <v>31.7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1.79</v>
      </c>
      <c r="AU24" t="s">
        <v>19</v>
      </c>
      <c r="AV24">
        <v>0</v>
      </c>
      <c r="AW24">
        <v>2</v>
      </c>
      <c r="AX24">
        <v>45926759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Y24*Source!I26</f>
        <v>0.0537</v>
      </c>
      <c r="CY24">
        <f>AB24</f>
        <v>124.8</v>
      </c>
      <c r="CZ24">
        <f>AF24</f>
        <v>30</v>
      </c>
      <c r="DA24">
        <f>AJ24</f>
        <v>4.16</v>
      </c>
      <c r="DB24">
        <v>0</v>
      </c>
    </row>
    <row r="25" spans="1:106" ht="12.75">
      <c r="A25">
        <f>ROW(Source!A26)</f>
        <v>26</v>
      </c>
      <c r="B25">
        <v>45926640</v>
      </c>
      <c r="C25">
        <v>45926737</v>
      </c>
      <c r="D25">
        <v>30684901</v>
      </c>
      <c r="E25">
        <v>1</v>
      </c>
      <c r="F25">
        <v>1</v>
      </c>
      <c r="G25">
        <v>1</v>
      </c>
      <c r="H25">
        <v>2</v>
      </c>
      <c r="I25" t="s">
        <v>400</v>
      </c>
      <c r="J25" t="s">
        <v>401</v>
      </c>
      <c r="K25" t="s">
        <v>402</v>
      </c>
      <c r="L25">
        <v>1368</v>
      </c>
      <c r="N25">
        <v>1011</v>
      </c>
      <c r="O25" t="s">
        <v>341</v>
      </c>
      <c r="P25" t="s">
        <v>341</v>
      </c>
      <c r="Q25">
        <v>1</v>
      </c>
      <c r="W25">
        <v>0</v>
      </c>
      <c r="X25">
        <v>458544584</v>
      </c>
      <c r="Y25">
        <v>2.4875</v>
      </c>
      <c r="AA25">
        <v>0</v>
      </c>
      <c r="AB25">
        <v>908.31</v>
      </c>
      <c r="AC25">
        <v>367.72</v>
      </c>
      <c r="AD25">
        <v>0</v>
      </c>
      <c r="AE25">
        <v>0</v>
      </c>
      <c r="AF25">
        <v>87.17</v>
      </c>
      <c r="AG25">
        <v>11.6</v>
      </c>
      <c r="AH25">
        <v>0</v>
      </c>
      <c r="AI25">
        <v>1</v>
      </c>
      <c r="AJ25">
        <v>10.42</v>
      </c>
      <c r="AK25">
        <v>31.7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1.99</v>
      </c>
      <c r="AU25" t="s">
        <v>19</v>
      </c>
      <c r="AV25">
        <v>0</v>
      </c>
      <c r="AW25">
        <v>2</v>
      </c>
      <c r="AX25">
        <v>45926760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Y25*Source!I26</f>
        <v>0.059699999999999996</v>
      </c>
      <c r="CY25">
        <f>AB25</f>
        <v>908.31</v>
      </c>
      <c r="CZ25">
        <f>AF25</f>
        <v>87.17</v>
      </c>
      <c r="DA25">
        <f>AJ25</f>
        <v>10.42</v>
      </c>
      <c r="DB25">
        <v>0</v>
      </c>
    </row>
    <row r="26" spans="1:106" ht="12.75">
      <c r="A26">
        <f>ROW(Source!A26)</f>
        <v>26</v>
      </c>
      <c r="B26">
        <v>45926640</v>
      </c>
      <c r="C26">
        <v>45926737</v>
      </c>
      <c r="D26">
        <v>30624382</v>
      </c>
      <c r="E26">
        <v>1</v>
      </c>
      <c r="F26">
        <v>1</v>
      </c>
      <c r="G26">
        <v>1</v>
      </c>
      <c r="H26">
        <v>3</v>
      </c>
      <c r="I26" t="s">
        <v>403</v>
      </c>
      <c r="J26" t="s">
        <v>404</v>
      </c>
      <c r="K26" t="s">
        <v>405</v>
      </c>
      <c r="L26">
        <v>1348</v>
      </c>
      <c r="N26">
        <v>1009</v>
      </c>
      <c r="O26" t="s">
        <v>406</v>
      </c>
      <c r="P26" t="s">
        <v>406</v>
      </c>
      <c r="Q26">
        <v>1000</v>
      </c>
      <c r="W26">
        <v>0</v>
      </c>
      <c r="X26">
        <v>60514000</v>
      </c>
      <c r="Y26">
        <v>0.0021</v>
      </c>
      <c r="AA26">
        <v>68647.5</v>
      </c>
      <c r="AB26">
        <v>0</v>
      </c>
      <c r="AC26">
        <v>0</v>
      </c>
      <c r="AD26">
        <v>0</v>
      </c>
      <c r="AE26">
        <v>8475</v>
      </c>
      <c r="AF26">
        <v>0</v>
      </c>
      <c r="AG26">
        <v>0</v>
      </c>
      <c r="AH26">
        <v>0</v>
      </c>
      <c r="AI26">
        <v>8.1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0.0021</v>
      </c>
      <c r="AV26">
        <v>0</v>
      </c>
      <c r="AW26">
        <v>2</v>
      </c>
      <c r="AX26">
        <v>45926761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Y26*Source!I26</f>
        <v>5.04E-05</v>
      </c>
      <c r="CY26">
        <f aca="true" t="shared" si="3" ref="CY26:CY36">AA26</f>
        <v>68647.5</v>
      </c>
      <c r="CZ26">
        <f aca="true" t="shared" si="4" ref="CZ26:CZ36">AE26</f>
        <v>8475</v>
      </c>
      <c r="DA26">
        <f aca="true" t="shared" si="5" ref="DA26:DA36">AI26</f>
        <v>8.1</v>
      </c>
      <c r="DB26">
        <v>0</v>
      </c>
    </row>
    <row r="27" spans="1:106" ht="12.75">
      <c r="A27">
        <f>ROW(Source!A26)</f>
        <v>26</v>
      </c>
      <c r="B27">
        <v>45926640</v>
      </c>
      <c r="C27">
        <v>45926737</v>
      </c>
      <c r="D27">
        <v>30621749</v>
      </c>
      <c r="E27">
        <v>1</v>
      </c>
      <c r="F27">
        <v>1</v>
      </c>
      <c r="G27">
        <v>1</v>
      </c>
      <c r="H27">
        <v>3</v>
      </c>
      <c r="I27" t="s">
        <v>407</v>
      </c>
      <c r="J27" t="s">
        <v>408</v>
      </c>
      <c r="K27" t="s">
        <v>409</v>
      </c>
      <c r="L27">
        <v>1348</v>
      </c>
      <c r="N27">
        <v>1009</v>
      </c>
      <c r="O27" t="s">
        <v>406</v>
      </c>
      <c r="P27" t="s">
        <v>406</v>
      </c>
      <c r="Q27">
        <v>1000</v>
      </c>
      <c r="W27">
        <v>0</v>
      </c>
      <c r="X27">
        <v>-538696133</v>
      </c>
      <c r="Y27">
        <v>0.0236</v>
      </c>
      <c r="AA27">
        <v>4271.37</v>
      </c>
      <c r="AB27">
        <v>0</v>
      </c>
      <c r="AC27">
        <v>0</v>
      </c>
      <c r="AD27">
        <v>0</v>
      </c>
      <c r="AE27">
        <v>1694.99</v>
      </c>
      <c r="AF27">
        <v>0</v>
      </c>
      <c r="AG27">
        <v>0</v>
      </c>
      <c r="AH27">
        <v>0</v>
      </c>
      <c r="AI27">
        <v>2.52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0.0236</v>
      </c>
      <c r="AV27">
        <v>0</v>
      </c>
      <c r="AW27">
        <v>2</v>
      </c>
      <c r="AX27">
        <v>45926762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Y27*Source!I26</f>
        <v>0.0005664</v>
      </c>
      <c r="CY27">
        <f t="shared" si="3"/>
        <v>4271.37</v>
      </c>
      <c r="CZ27">
        <f t="shared" si="4"/>
        <v>1694.99</v>
      </c>
      <c r="DA27">
        <f t="shared" si="5"/>
        <v>2.52</v>
      </c>
      <c r="DB27">
        <v>0</v>
      </c>
    </row>
    <row r="28" spans="1:106" ht="12.75">
      <c r="A28">
        <f>ROW(Source!A26)</f>
        <v>26</v>
      </c>
      <c r="B28">
        <v>45926640</v>
      </c>
      <c r="C28">
        <v>45926737</v>
      </c>
      <c r="D28">
        <v>30619149</v>
      </c>
      <c r="E28">
        <v>1</v>
      </c>
      <c r="F28">
        <v>1</v>
      </c>
      <c r="G28">
        <v>1</v>
      </c>
      <c r="H28">
        <v>3</v>
      </c>
      <c r="I28" t="s">
        <v>410</v>
      </c>
      <c r="J28" t="s">
        <v>411</v>
      </c>
      <c r="K28" t="s">
        <v>412</v>
      </c>
      <c r="L28">
        <v>1327</v>
      </c>
      <c r="N28">
        <v>1005</v>
      </c>
      <c r="O28" t="s">
        <v>30</v>
      </c>
      <c r="P28" t="s">
        <v>30</v>
      </c>
      <c r="Q28">
        <v>1</v>
      </c>
      <c r="W28">
        <v>0</v>
      </c>
      <c r="X28">
        <v>2002905425</v>
      </c>
      <c r="Y28">
        <v>89</v>
      </c>
      <c r="AA28">
        <v>32.95</v>
      </c>
      <c r="AB28">
        <v>0</v>
      </c>
      <c r="AC28">
        <v>0</v>
      </c>
      <c r="AD28">
        <v>0</v>
      </c>
      <c r="AE28">
        <v>5.71</v>
      </c>
      <c r="AF28">
        <v>0</v>
      </c>
      <c r="AG28">
        <v>0</v>
      </c>
      <c r="AH28">
        <v>0</v>
      </c>
      <c r="AI28">
        <v>5.77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89</v>
      </c>
      <c r="AV28">
        <v>0</v>
      </c>
      <c r="AW28">
        <v>2</v>
      </c>
      <c r="AX28">
        <v>45926763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Y28*Source!I26</f>
        <v>2.136</v>
      </c>
      <c r="CY28">
        <f t="shared" si="3"/>
        <v>32.95</v>
      </c>
      <c r="CZ28">
        <f t="shared" si="4"/>
        <v>5.71</v>
      </c>
      <c r="DA28">
        <f t="shared" si="5"/>
        <v>5.77</v>
      </c>
      <c r="DB28">
        <v>0</v>
      </c>
    </row>
    <row r="29" spans="1:106" ht="12.75">
      <c r="A29">
        <f>ROW(Source!A26)</f>
        <v>26</v>
      </c>
      <c r="B29">
        <v>45926640</v>
      </c>
      <c r="C29">
        <v>45926737</v>
      </c>
      <c r="D29">
        <v>30622534</v>
      </c>
      <c r="E29">
        <v>1</v>
      </c>
      <c r="F29">
        <v>1</v>
      </c>
      <c r="G29">
        <v>1</v>
      </c>
      <c r="H29">
        <v>3</v>
      </c>
      <c r="I29" t="s">
        <v>413</v>
      </c>
      <c r="J29" t="s">
        <v>414</v>
      </c>
      <c r="K29" t="s">
        <v>415</v>
      </c>
      <c r="L29">
        <v>1346</v>
      </c>
      <c r="N29">
        <v>1009</v>
      </c>
      <c r="O29" t="s">
        <v>351</v>
      </c>
      <c r="P29" t="s">
        <v>351</v>
      </c>
      <c r="Q29">
        <v>1</v>
      </c>
      <c r="W29">
        <v>0</v>
      </c>
      <c r="X29">
        <v>666451371</v>
      </c>
      <c r="Y29">
        <v>37.5</v>
      </c>
      <c r="AA29">
        <v>71.82</v>
      </c>
      <c r="AB29">
        <v>0</v>
      </c>
      <c r="AC29">
        <v>0</v>
      </c>
      <c r="AD29">
        <v>0</v>
      </c>
      <c r="AE29">
        <v>10.26</v>
      </c>
      <c r="AF29">
        <v>0</v>
      </c>
      <c r="AG29">
        <v>0</v>
      </c>
      <c r="AH29">
        <v>0</v>
      </c>
      <c r="AI29">
        <v>7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37.5</v>
      </c>
      <c r="AV29">
        <v>0</v>
      </c>
      <c r="AW29">
        <v>2</v>
      </c>
      <c r="AX29">
        <v>45926764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Y29*Source!I26</f>
        <v>0.9</v>
      </c>
      <c r="CY29">
        <f t="shared" si="3"/>
        <v>71.82</v>
      </c>
      <c r="CZ29">
        <f t="shared" si="4"/>
        <v>10.26</v>
      </c>
      <c r="DA29">
        <f t="shared" si="5"/>
        <v>7</v>
      </c>
      <c r="DB29">
        <v>0</v>
      </c>
    </row>
    <row r="30" spans="1:106" ht="12.75">
      <c r="A30">
        <f>ROW(Source!A26)</f>
        <v>26</v>
      </c>
      <c r="B30">
        <v>45926640</v>
      </c>
      <c r="C30">
        <v>45926737</v>
      </c>
      <c r="D30">
        <v>30624319</v>
      </c>
      <c r="E30">
        <v>1</v>
      </c>
      <c r="F30">
        <v>1</v>
      </c>
      <c r="G30">
        <v>1</v>
      </c>
      <c r="H30">
        <v>3</v>
      </c>
      <c r="I30" t="s">
        <v>416</v>
      </c>
      <c r="J30" t="s">
        <v>417</v>
      </c>
      <c r="K30" t="s">
        <v>418</v>
      </c>
      <c r="L30">
        <v>1348</v>
      </c>
      <c r="N30">
        <v>1009</v>
      </c>
      <c r="O30" t="s">
        <v>406</v>
      </c>
      <c r="P30" t="s">
        <v>406</v>
      </c>
      <c r="Q30">
        <v>1000</v>
      </c>
      <c r="W30">
        <v>0</v>
      </c>
      <c r="X30">
        <v>233971917</v>
      </c>
      <c r="Y30">
        <v>0.00413</v>
      </c>
      <c r="AA30">
        <v>53302.1</v>
      </c>
      <c r="AB30">
        <v>0</v>
      </c>
      <c r="AC30">
        <v>0</v>
      </c>
      <c r="AD30">
        <v>0</v>
      </c>
      <c r="AE30">
        <v>11978</v>
      </c>
      <c r="AF30">
        <v>0</v>
      </c>
      <c r="AG30">
        <v>0</v>
      </c>
      <c r="AH30">
        <v>0</v>
      </c>
      <c r="AI30">
        <v>4.45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0.00413</v>
      </c>
      <c r="AV30">
        <v>0</v>
      </c>
      <c r="AW30">
        <v>2</v>
      </c>
      <c r="AX30">
        <v>45926765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Y30*Source!I26</f>
        <v>9.912E-05</v>
      </c>
      <c r="CY30">
        <f t="shared" si="3"/>
        <v>53302.1</v>
      </c>
      <c r="CZ30">
        <f t="shared" si="4"/>
        <v>11978</v>
      </c>
      <c r="DA30">
        <f t="shared" si="5"/>
        <v>4.45</v>
      </c>
      <c r="DB30">
        <v>0</v>
      </c>
    </row>
    <row r="31" spans="1:106" ht="12.75">
      <c r="A31">
        <f>ROW(Source!A26)</f>
        <v>26</v>
      </c>
      <c r="B31">
        <v>45926640</v>
      </c>
      <c r="C31">
        <v>45926737</v>
      </c>
      <c r="D31">
        <v>30617976</v>
      </c>
      <c r="E31">
        <v>1</v>
      </c>
      <c r="F31">
        <v>1</v>
      </c>
      <c r="G31">
        <v>1</v>
      </c>
      <c r="H31">
        <v>3</v>
      </c>
      <c r="I31" t="s">
        <v>419</v>
      </c>
      <c r="J31" t="s">
        <v>420</v>
      </c>
      <c r="K31" t="s">
        <v>421</v>
      </c>
      <c r="L31">
        <v>1296</v>
      </c>
      <c r="N31">
        <v>1002</v>
      </c>
      <c r="O31" t="s">
        <v>422</v>
      </c>
      <c r="P31" t="s">
        <v>422</v>
      </c>
      <c r="Q31">
        <v>1</v>
      </c>
      <c r="W31">
        <v>0</v>
      </c>
      <c r="X31">
        <v>1001129492</v>
      </c>
      <c r="Y31">
        <v>32.4</v>
      </c>
      <c r="AA31">
        <v>162.62</v>
      </c>
      <c r="AB31">
        <v>0</v>
      </c>
      <c r="AC31">
        <v>0</v>
      </c>
      <c r="AD31">
        <v>0</v>
      </c>
      <c r="AE31">
        <v>47</v>
      </c>
      <c r="AF31">
        <v>0</v>
      </c>
      <c r="AG31">
        <v>0</v>
      </c>
      <c r="AH31">
        <v>0</v>
      </c>
      <c r="AI31">
        <v>3.46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32.4</v>
      </c>
      <c r="AV31">
        <v>0</v>
      </c>
      <c r="AW31">
        <v>2</v>
      </c>
      <c r="AX31">
        <v>45926766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Y31*Source!I26</f>
        <v>0.7776</v>
      </c>
      <c r="CY31">
        <f t="shared" si="3"/>
        <v>162.62</v>
      </c>
      <c r="CZ31">
        <f t="shared" si="4"/>
        <v>47</v>
      </c>
      <c r="DA31">
        <f t="shared" si="5"/>
        <v>3.46</v>
      </c>
      <c r="DB31">
        <v>0</v>
      </c>
    </row>
    <row r="32" spans="1:106" ht="12.75">
      <c r="A32">
        <f>ROW(Source!A26)</f>
        <v>26</v>
      </c>
      <c r="B32">
        <v>45926640</v>
      </c>
      <c r="C32">
        <v>45926737</v>
      </c>
      <c r="D32">
        <v>30625629</v>
      </c>
      <c r="E32">
        <v>1</v>
      </c>
      <c r="F32">
        <v>1</v>
      </c>
      <c r="G32">
        <v>1</v>
      </c>
      <c r="H32">
        <v>3</v>
      </c>
      <c r="I32" t="s">
        <v>423</v>
      </c>
      <c r="J32" t="s">
        <v>424</v>
      </c>
      <c r="K32" t="s">
        <v>425</v>
      </c>
      <c r="L32">
        <v>1339</v>
      </c>
      <c r="N32">
        <v>1007</v>
      </c>
      <c r="O32" t="s">
        <v>388</v>
      </c>
      <c r="P32" t="s">
        <v>388</v>
      </c>
      <c r="Q32">
        <v>1</v>
      </c>
      <c r="W32">
        <v>0</v>
      </c>
      <c r="X32">
        <v>974112350</v>
      </c>
      <c r="Y32">
        <v>0.08</v>
      </c>
      <c r="AA32">
        <v>5720</v>
      </c>
      <c r="AB32">
        <v>0</v>
      </c>
      <c r="AC32">
        <v>0</v>
      </c>
      <c r="AD32">
        <v>0</v>
      </c>
      <c r="AE32">
        <v>1100</v>
      </c>
      <c r="AF32">
        <v>0</v>
      </c>
      <c r="AG32">
        <v>0</v>
      </c>
      <c r="AH32">
        <v>0</v>
      </c>
      <c r="AI32">
        <v>5.2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0.08</v>
      </c>
      <c r="AV32">
        <v>0</v>
      </c>
      <c r="AW32">
        <v>2</v>
      </c>
      <c r="AX32">
        <v>45926768</v>
      </c>
      <c r="AY32">
        <v>1</v>
      </c>
      <c r="AZ32">
        <v>0</v>
      </c>
      <c r="BA32">
        <v>33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Y32*Source!I26</f>
        <v>0.00192</v>
      </c>
      <c r="CY32">
        <f t="shared" si="3"/>
        <v>5720</v>
      </c>
      <c r="CZ32">
        <f t="shared" si="4"/>
        <v>1100</v>
      </c>
      <c r="DA32">
        <f t="shared" si="5"/>
        <v>5.2</v>
      </c>
      <c r="DB32">
        <v>0</v>
      </c>
    </row>
    <row r="33" spans="1:106" ht="12.75">
      <c r="A33">
        <f>ROW(Source!A26)</f>
        <v>26</v>
      </c>
      <c r="B33">
        <v>45926640</v>
      </c>
      <c r="C33">
        <v>45926737</v>
      </c>
      <c r="D33">
        <v>30640548</v>
      </c>
      <c r="E33">
        <v>1</v>
      </c>
      <c r="F33">
        <v>1</v>
      </c>
      <c r="G33">
        <v>1</v>
      </c>
      <c r="H33">
        <v>3</v>
      </c>
      <c r="I33" t="s">
        <v>38</v>
      </c>
      <c r="J33" t="s">
        <v>40</v>
      </c>
      <c r="K33" t="s">
        <v>39</v>
      </c>
      <c r="L33">
        <v>1327</v>
      </c>
      <c r="N33">
        <v>1005</v>
      </c>
      <c r="O33" t="s">
        <v>30</v>
      </c>
      <c r="P33" t="s">
        <v>30</v>
      </c>
      <c r="Q33">
        <v>1</v>
      </c>
      <c r="W33">
        <v>1</v>
      </c>
      <c r="X33">
        <v>-172969429</v>
      </c>
      <c r="Y33">
        <v>-100</v>
      </c>
      <c r="AA33">
        <v>1039.14</v>
      </c>
      <c r="AB33">
        <v>0</v>
      </c>
      <c r="AC33">
        <v>0</v>
      </c>
      <c r="AD33">
        <v>0</v>
      </c>
      <c r="AE33">
        <v>207</v>
      </c>
      <c r="AF33">
        <v>0</v>
      </c>
      <c r="AG33">
        <v>0</v>
      </c>
      <c r="AH33">
        <v>0</v>
      </c>
      <c r="AI33">
        <v>5.02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-100</v>
      </c>
      <c r="AV33">
        <v>0</v>
      </c>
      <c r="AW33">
        <v>2</v>
      </c>
      <c r="AX33">
        <v>45926769</v>
      </c>
      <c r="AY33">
        <v>1</v>
      </c>
      <c r="AZ33">
        <v>6144</v>
      </c>
      <c r="BA33">
        <v>34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Y33*Source!I26</f>
        <v>-2.4</v>
      </c>
      <c r="CY33">
        <f t="shared" si="3"/>
        <v>1039.14</v>
      </c>
      <c r="CZ33">
        <f t="shared" si="4"/>
        <v>207</v>
      </c>
      <c r="DA33">
        <f t="shared" si="5"/>
        <v>5.02</v>
      </c>
      <c r="DB33">
        <v>0</v>
      </c>
    </row>
    <row r="34" spans="1:106" ht="12.75">
      <c r="A34">
        <f>ROW(Source!A26)</f>
        <v>26</v>
      </c>
      <c r="B34">
        <v>45926640</v>
      </c>
      <c r="C34">
        <v>45926737</v>
      </c>
      <c r="D34">
        <v>30640529</v>
      </c>
      <c r="E34">
        <v>1</v>
      </c>
      <c r="F34">
        <v>1</v>
      </c>
      <c r="G34">
        <v>1</v>
      </c>
      <c r="H34">
        <v>3</v>
      </c>
      <c r="I34" t="s">
        <v>42</v>
      </c>
      <c r="J34" t="s">
        <v>45</v>
      </c>
      <c r="K34" t="s">
        <v>43</v>
      </c>
      <c r="L34">
        <v>1035</v>
      </c>
      <c r="N34">
        <v>1013</v>
      </c>
      <c r="O34" t="s">
        <v>44</v>
      </c>
      <c r="P34" t="s">
        <v>44</v>
      </c>
      <c r="Q34">
        <v>1</v>
      </c>
      <c r="W34">
        <v>0</v>
      </c>
      <c r="X34">
        <v>1052317703</v>
      </c>
      <c r="Y34">
        <v>83.333333</v>
      </c>
      <c r="AA34">
        <v>6090.09</v>
      </c>
      <c r="AB34">
        <v>0</v>
      </c>
      <c r="AC34">
        <v>0</v>
      </c>
      <c r="AD34">
        <v>0</v>
      </c>
      <c r="AE34">
        <v>1095.34</v>
      </c>
      <c r="AF34">
        <v>0</v>
      </c>
      <c r="AG34">
        <v>0</v>
      </c>
      <c r="AH34">
        <v>0</v>
      </c>
      <c r="AI34">
        <v>5.56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T34">
        <v>83.333333</v>
      </c>
      <c r="AV34">
        <v>0</v>
      </c>
      <c r="AW34">
        <v>1</v>
      </c>
      <c r="AX34">
        <v>-1</v>
      </c>
      <c r="AY34">
        <v>0</v>
      </c>
      <c r="AZ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Y34*Source!I26</f>
        <v>1.999999992</v>
      </c>
      <c r="CY34">
        <f t="shared" si="3"/>
        <v>6090.09</v>
      </c>
      <c r="CZ34">
        <f t="shared" si="4"/>
        <v>1095.34</v>
      </c>
      <c r="DA34">
        <f t="shared" si="5"/>
        <v>5.56</v>
      </c>
      <c r="DB34">
        <v>0</v>
      </c>
    </row>
    <row r="35" spans="1:106" ht="12.75">
      <c r="A35">
        <f>ROW(Source!A26)</f>
        <v>26</v>
      </c>
      <c r="B35">
        <v>45926640</v>
      </c>
      <c r="C35">
        <v>45926737</v>
      </c>
      <c r="D35">
        <v>30655204</v>
      </c>
      <c r="E35">
        <v>1</v>
      </c>
      <c r="F35">
        <v>1</v>
      </c>
      <c r="G35">
        <v>1</v>
      </c>
      <c r="H35">
        <v>3</v>
      </c>
      <c r="I35" t="s">
        <v>426</v>
      </c>
      <c r="J35" t="s">
        <v>427</v>
      </c>
      <c r="K35" t="s">
        <v>428</v>
      </c>
      <c r="L35">
        <v>1339</v>
      </c>
      <c r="N35">
        <v>1007</v>
      </c>
      <c r="O35" t="s">
        <v>388</v>
      </c>
      <c r="P35" t="s">
        <v>388</v>
      </c>
      <c r="Q35">
        <v>1</v>
      </c>
      <c r="W35">
        <v>0</v>
      </c>
      <c r="X35">
        <v>1316607068</v>
      </c>
      <c r="Y35">
        <v>0.105</v>
      </c>
      <c r="AA35">
        <v>3334.24</v>
      </c>
      <c r="AB35">
        <v>0</v>
      </c>
      <c r="AC35">
        <v>0</v>
      </c>
      <c r="AD35">
        <v>0</v>
      </c>
      <c r="AE35">
        <v>458</v>
      </c>
      <c r="AF35">
        <v>0</v>
      </c>
      <c r="AG35">
        <v>0</v>
      </c>
      <c r="AH35">
        <v>0</v>
      </c>
      <c r="AI35">
        <v>7.28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0.105</v>
      </c>
      <c r="AV35">
        <v>0</v>
      </c>
      <c r="AW35">
        <v>2</v>
      </c>
      <c r="AX35">
        <v>45926770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Y35*Source!I26</f>
        <v>0.00252</v>
      </c>
      <c r="CY35">
        <f t="shared" si="3"/>
        <v>3334.24</v>
      </c>
      <c r="CZ35">
        <f t="shared" si="4"/>
        <v>458</v>
      </c>
      <c r="DA35">
        <f t="shared" si="5"/>
        <v>7.28</v>
      </c>
      <c r="DB35">
        <v>0</v>
      </c>
    </row>
    <row r="36" spans="1:106" ht="12.75">
      <c r="A36">
        <f>ROW(Source!A26)</f>
        <v>26</v>
      </c>
      <c r="B36">
        <v>45926640</v>
      </c>
      <c r="C36">
        <v>45926737</v>
      </c>
      <c r="D36">
        <v>30659191</v>
      </c>
      <c r="E36">
        <v>1</v>
      </c>
      <c r="F36">
        <v>1</v>
      </c>
      <c r="G36">
        <v>1</v>
      </c>
      <c r="H36">
        <v>3</v>
      </c>
      <c r="I36" t="s">
        <v>429</v>
      </c>
      <c r="J36" t="s">
        <v>430</v>
      </c>
      <c r="K36" t="s">
        <v>431</v>
      </c>
      <c r="L36">
        <v>1348</v>
      </c>
      <c r="N36">
        <v>1009</v>
      </c>
      <c r="O36" t="s">
        <v>406</v>
      </c>
      <c r="P36" t="s">
        <v>406</v>
      </c>
      <c r="Q36">
        <v>1000</v>
      </c>
      <c r="W36">
        <v>0</v>
      </c>
      <c r="X36">
        <v>-1132764130</v>
      </c>
      <c r="Y36">
        <v>0.016</v>
      </c>
      <c r="AA36">
        <v>4963.86</v>
      </c>
      <c r="AB36">
        <v>0</v>
      </c>
      <c r="AC36">
        <v>0</v>
      </c>
      <c r="AD36">
        <v>0</v>
      </c>
      <c r="AE36">
        <v>729.98</v>
      </c>
      <c r="AF36">
        <v>0</v>
      </c>
      <c r="AG36">
        <v>0</v>
      </c>
      <c r="AH36">
        <v>0</v>
      </c>
      <c r="AI36">
        <v>6.8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0.016</v>
      </c>
      <c r="AV36">
        <v>0</v>
      </c>
      <c r="AW36">
        <v>2</v>
      </c>
      <c r="AX36">
        <v>45926771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Y36*Source!I26</f>
        <v>0.000384</v>
      </c>
      <c r="CY36">
        <f t="shared" si="3"/>
        <v>4963.86</v>
      </c>
      <c r="CZ36">
        <f t="shared" si="4"/>
        <v>729.98</v>
      </c>
      <c r="DA36">
        <f t="shared" si="5"/>
        <v>6.8</v>
      </c>
      <c r="DB36">
        <v>0</v>
      </c>
    </row>
    <row r="37" spans="1:106" ht="12.75">
      <c r="A37">
        <f>ROW(Source!A29)</f>
        <v>29</v>
      </c>
      <c r="B37">
        <v>45926640</v>
      </c>
      <c r="C37">
        <v>45926774</v>
      </c>
      <c r="D37">
        <v>13666742</v>
      </c>
      <c r="E37">
        <v>1</v>
      </c>
      <c r="F37">
        <v>1</v>
      </c>
      <c r="G37">
        <v>1</v>
      </c>
      <c r="H37">
        <v>1</v>
      </c>
      <c r="I37" t="s">
        <v>432</v>
      </c>
      <c r="K37" t="s">
        <v>433</v>
      </c>
      <c r="L37">
        <v>1369</v>
      </c>
      <c r="N37">
        <v>1013</v>
      </c>
      <c r="O37" t="s">
        <v>335</v>
      </c>
      <c r="P37" t="s">
        <v>335</v>
      </c>
      <c r="Q37">
        <v>1</v>
      </c>
      <c r="W37">
        <v>0</v>
      </c>
      <c r="X37">
        <v>1933892413</v>
      </c>
      <c r="Y37">
        <v>8.993</v>
      </c>
      <c r="AA37">
        <v>0</v>
      </c>
      <c r="AB37">
        <v>0</v>
      </c>
      <c r="AC37">
        <v>0</v>
      </c>
      <c r="AD37">
        <v>8.17</v>
      </c>
      <c r="AE37">
        <v>0</v>
      </c>
      <c r="AF37">
        <v>0</v>
      </c>
      <c r="AG37">
        <v>0</v>
      </c>
      <c r="AH37">
        <v>8.17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7.82</v>
      </c>
      <c r="AU37" t="s">
        <v>20</v>
      </c>
      <c r="AV37">
        <v>1</v>
      </c>
      <c r="AW37">
        <v>2</v>
      </c>
      <c r="AX37">
        <v>45926779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Y37*Source!I29</f>
        <v>1.7986000000000002</v>
      </c>
      <c r="CY37">
        <f>AD37</f>
        <v>8.17</v>
      </c>
      <c r="CZ37">
        <f>AH37</f>
        <v>8.17</v>
      </c>
      <c r="DA37">
        <f>AL37</f>
        <v>1</v>
      </c>
      <c r="DB37">
        <v>0</v>
      </c>
    </row>
    <row r="38" spans="1:106" ht="12.75">
      <c r="A38">
        <f>ROW(Source!A29)</f>
        <v>29</v>
      </c>
      <c r="B38">
        <v>45926640</v>
      </c>
      <c r="C38">
        <v>45926774</v>
      </c>
      <c r="D38">
        <v>30684901</v>
      </c>
      <c r="E38">
        <v>1</v>
      </c>
      <c r="F38">
        <v>1</v>
      </c>
      <c r="G38">
        <v>1</v>
      </c>
      <c r="H38">
        <v>2</v>
      </c>
      <c r="I38" t="s">
        <v>400</v>
      </c>
      <c r="J38" t="s">
        <v>401</v>
      </c>
      <c r="K38" t="s">
        <v>402</v>
      </c>
      <c r="L38">
        <v>1368</v>
      </c>
      <c r="N38">
        <v>1011</v>
      </c>
      <c r="O38" t="s">
        <v>341</v>
      </c>
      <c r="P38" t="s">
        <v>341</v>
      </c>
      <c r="Q38">
        <v>1</v>
      </c>
      <c r="W38">
        <v>0</v>
      </c>
      <c r="X38">
        <v>458544584</v>
      </c>
      <c r="Y38">
        <v>0.05</v>
      </c>
      <c r="AA38">
        <v>0</v>
      </c>
      <c r="AB38">
        <v>908.31</v>
      </c>
      <c r="AC38">
        <v>367.72</v>
      </c>
      <c r="AD38">
        <v>0</v>
      </c>
      <c r="AE38">
        <v>0</v>
      </c>
      <c r="AF38">
        <v>87.17</v>
      </c>
      <c r="AG38">
        <v>11.6</v>
      </c>
      <c r="AH38">
        <v>0</v>
      </c>
      <c r="AI38">
        <v>1</v>
      </c>
      <c r="AJ38">
        <v>10.42</v>
      </c>
      <c r="AK38">
        <v>31.7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0.04</v>
      </c>
      <c r="AU38" t="s">
        <v>19</v>
      </c>
      <c r="AV38">
        <v>0</v>
      </c>
      <c r="AW38">
        <v>2</v>
      </c>
      <c r="AX38">
        <v>45926780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Y38*Source!I29</f>
        <v>0.010000000000000002</v>
      </c>
      <c r="CY38">
        <f>AB38</f>
        <v>908.31</v>
      </c>
      <c r="CZ38">
        <f>AF38</f>
        <v>87.17</v>
      </c>
      <c r="DA38">
        <f>AJ38</f>
        <v>10.42</v>
      </c>
      <c r="DB38">
        <v>0</v>
      </c>
    </row>
    <row r="39" spans="1:106" ht="12.75">
      <c r="A39">
        <f>ROW(Source!A29)</f>
        <v>29</v>
      </c>
      <c r="B39">
        <v>45926640</v>
      </c>
      <c r="C39">
        <v>45926774</v>
      </c>
      <c r="D39">
        <v>30624319</v>
      </c>
      <c r="E39">
        <v>1</v>
      </c>
      <c r="F39">
        <v>1</v>
      </c>
      <c r="G39">
        <v>1</v>
      </c>
      <c r="H39">
        <v>3</v>
      </c>
      <c r="I39" t="s">
        <v>416</v>
      </c>
      <c r="J39" t="s">
        <v>417</v>
      </c>
      <c r="K39" t="s">
        <v>418</v>
      </c>
      <c r="L39">
        <v>1348</v>
      </c>
      <c r="N39">
        <v>1009</v>
      </c>
      <c r="O39" t="s">
        <v>406</v>
      </c>
      <c r="P39" t="s">
        <v>406</v>
      </c>
      <c r="Q39">
        <v>1000</v>
      </c>
      <c r="W39">
        <v>0</v>
      </c>
      <c r="X39">
        <v>233971917</v>
      </c>
      <c r="Y39">
        <v>0.00071</v>
      </c>
      <c r="AA39">
        <v>53302.1</v>
      </c>
      <c r="AB39">
        <v>0</v>
      </c>
      <c r="AC39">
        <v>0</v>
      </c>
      <c r="AD39">
        <v>0</v>
      </c>
      <c r="AE39">
        <v>11978</v>
      </c>
      <c r="AF39">
        <v>0</v>
      </c>
      <c r="AG39">
        <v>0</v>
      </c>
      <c r="AH39">
        <v>0</v>
      </c>
      <c r="AI39">
        <v>4.45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0.00071</v>
      </c>
      <c r="AV39">
        <v>0</v>
      </c>
      <c r="AW39">
        <v>2</v>
      </c>
      <c r="AX39">
        <v>45926781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Y39*Source!I29</f>
        <v>0.000142</v>
      </c>
      <c r="CY39">
        <f>AA39</f>
        <v>53302.1</v>
      </c>
      <c r="CZ39">
        <f>AE39</f>
        <v>11978</v>
      </c>
      <c r="DA39">
        <f>AI39</f>
        <v>4.45</v>
      </c>
      <c r="DB39">
        <v>0</v>
      </c>
    </row>
    <row r="40" spans="1:106" ht="12.75">
      <c r="A40">
        <f>ROW(Source!A29)</f>
        <v>29</v>
      </c>
      <c r="B40">
        <v>45926640</v>
      </c>
      <c r="C40">
        <v>45926774</v>
      </c>
      <c r="D40">
        <v>30641002</v>
      </c>
      <c r="E40">
        <v>1</v>
      </c>
      <c r="F40">
        <v>1</v>
      </c>
      <c r="G40">
        <v>1</v>
      </c>
      <c r="H40">
        <v>3</v>
      </c>
      <c r="I40" t="s">
        <v>434</v>
      </c>
      <c r="J40" t="s">
        <v>435</v>
      </c>
      <c r="K40" t="s">
        <v>436</v>
      </c>
      <c r="L40">
        <v>1301</v>
      </c>
      <c r="N40">
        <v>1003</v>
      </c>
      <c r="O40" t="s">
        <v>85</v>
      </c>
      <c r="P40" t="s">
        <v>85</v>
      </c>
      <c r="Q40">
        <v>1</v>
      </c>
      <c r="W40">
        <v>0</v>
      </c>
      <c r="X40">
        <v>-497354979</v>
      </c>
      <c r="Y40">
        <v>112</v>
      </c>
      <c r="AA40">
        <v>32.03</v>
      </c>
      <c r="AB40">
        <v>0</v>
      </c>
      <c r="AC40">
        <v>0</v>
      </c>
      <c r="AD40">
        <v>0</v>
      </c>
      <c r="AE40">
        <v>3.93</v>
      </c>
      <c r="AF40">
        <v>0</v>
      </c>
      <c r="AG40">
        <v>0</v>
      </c>
      <c r="AH40">
        <v>0</v>
      </c>
      <c r="AI40">
        <v>8.15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112</v>
      </c>
      <c r="AV40">
        <v>0</v>
      </c>
      <c r="AW40">
        <v>2</v>
      </c>
      <c r="AX40">
        <v>45926782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Y40*Source!I29</f>
        <v>22.400000000000002</v>
      </c>
      <c r="CY40">
        <f>AA40</f>
        <v>32.03</v>
      </c>
      <c r="CZ40">
        <f>AE40</f>
        <v>3.93</v>
      </c>
      <c r="DA40">
        <f>AI40</f>
        <v>8.15</v>
      </c>
      <c r="DB40">
        <v>0</v>
      </c>
    </row>
    <row r="41" spans="1:106" ht="12.75">
      <c r="A41">
        <f>ROW(Source!A30)</f>
        <v>30</v>
      </c>
      <c r="B41">
        <v>45926640</v>
      </c>
      <c r="C41">
        <v>45930188</v>
      </c>
      <c r="D41">
        <v>13671681</v>
      </c>
      <c r="E41">
        <v>1</v>
      </c>
      <c r="F41">
        <v>1</v>
      </c>
      <c r="G41">
        <v>1</v>
      </c>
      <c r="H41">
        <v>1</v>
      </c>
      <c r="I41" t="s">
        <v>389</v>
      </c>
      <c r="K41" t="s">
        <v>390</v>
      </c>
      <c r="L41">
        <v>1369</v>
      </c>
      <c r="N41">
        <v>1013</v>
      </c>
      <c r="O41" t="s">
        <v>335</v>
      </c>
      <c r="P41" t="s">
        <v>335</v>
      </c>
      <c r="Q41">
        <v>1</v>
      </c>
      <c r="W41">
        <v>0</v>
      </c>
      <c r="X41">
        <v>355262106</v>
      </c>
      <c r="Y41">
        <v>191.0265</v>
      </c>
      <c r="AA41">
        <v>0</v>
      </c>
      <c r="AB41">
        <v>0</v>
      </c>
      <c r="AC41">
        <v>0</v>
      </c>
      <c r="AD41">
        <v>9.18</v>
      </c>
      <c r="AE41">
        <v>0</v>
      </c>
      <c r="AF41">
        <v>0</v>
      </c>
      <c r="AG41">
        <v>0</v>
      </c>
      <c r="AH41">
        <v>9.18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166.11</v>
      </c>
      <c r="AU41" t="s">
        <v>20</v>
      </c>
      <c r="AV41">
        <v>1</v>
      </c>
      <c r="AW41">
        <v>2</v>
      </c>
      <c r="AX41">
        <v>45930189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Y41*Source!I30</f>
        <v>47.756625</v>
      </c>
      <c r="CY41">
        <f>AD41</f>
        <v>9.18</v>
      </c>
      <c r="CZ41">
        <f>AH41</f>
        <v>9.18</v>
      </c>
      <c r="DA41">
        <f>AL41</f>
        <v>1</v>
      </c>
      <c r="DB41">
        <v>0</v>
      </c>
    </row>
    <row r="42" spans="1:106" ht="12.75">
      <c r="A42">
        <f>ROW(Source!A30)</f>
        <v>30</v>
      </c>
      <c r="B42">
        <v>45926640</v>
      </c>
      <c r="C42">
        <v>45930188</v>
      </c>
      <c r="D42">
        <v>121548</v>
      </c>
      <c r="E42">
        <v>1</v>
      </c>
      <c r="F42">
        <v>1</v>
      </c>
      <c r="G42">
        <v>1</v>
      </c>
      <c r="H42">
        <v>1</v>
      </c>
      <c r="I42" t="s">
        <v>32</v>
      </c>
      <c r="K42" t="s">
        <v>336</v>
      </c>
      <c r="L42">
        <v>608254</v>
      </c>
      <c r="N42">
        <v>1013</v>
      </c>
      <c r="O42" t="s">
        <v>337</v>
      </c>
      <c r="P42" t="s">
        <v>337</v>
      </c>
      <c r="Q42">
        <v>1</v>
      </c>
      <c r="W42">
        <v>0</v>
      </c>
      <c r="X42">
        <v>-185737400</v>
      </c>
      <c r="Y42">
        <v>2.0625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1.65</v>
      </c>
      <c r="AU42" t="s">
        <v>19</v>
      </c>
      <c r="AV42">
        <v>2</v>
      </c>
      <c r="AW42">
        <v>2</v>
      </c>
      <c r="AX42">
        <v>45930190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Y42*Source!I30</f>
        <v>0.515625</v>
      </c>
      <c r="CY42">
        <f>AD42</f>
        <v>0</v>
      </c>
      <c r="CZ42">
        <f>AH42</f>
        <v>0</v>
      </c>
      <c r="DA42">
        <f>AL42</f>
        <v>1</v>
      </c>
      <c r="DB42">
        <v>0</v>
      </c>
    </row>
    <row r="43" spans="1:106" ht="12.75">
      <c r="A43">
        <f>ROW(Source!A30)</f>
        <v>30</v>
      </c>
      <c r="B43">
        <v>45926640</v>
      </c>
      <c r="C43">
        <v>45930188</v>
      </c>
      <c r="D43">
        <v>30682466</v>
      </c>
      <c r="E43">
        <v>1</v>
      </c>
      <c r="F43">
        <v>1</v>
      </c>
      <c r="G43">
        <v>1</v>
      </c>
      <c r="H43">
        <v>2</v>
      </c>
      <c r="I43" t="s">
        <v>437</v>
      </c>
      <c r="J43" t="s">
        <v>438</v>
      </c>
      <c r="K43" t="s">
        <v>439</v>
      </c>
      <c r="L43">
        <v>1368</v>
      </c>
      <c r="N43">
        <v>1011</v>
      </c>
      <c r="O43" t="s">
        <v>341</v>
      </c>
      <c r="P43" t="s">
        <v>341</v>
      </c>
      <c r="Q43">
        <v>1</v>
      </c>
      <c r="W43">
        <v>0</v>
      </c>
      <c r="X43">
        <v>1549832887</v>
      </c>
      <c r="Y43">
        <v>0.1</v>
      </c>
      <c r="AA43">
        <v>0</v>
      </c>
      <c r="AB43">
        <v>869.04</v>
      </c>
      <c r="AC43">
        <v>318.9</v>
      </c>
      <c r="AD43">
        <v>0</v>
      </c>
      <c r="AE43">
        <v>0</v>
      </c>
      <c r="AF43">
        <v>99.89</v>
      </c>
      <c r="AG43">
        <v>10.06</v>
      </c>
      <c r="AH43">
        <v>0</v>
      </c>
      <c r="AI43">
        <v>1</v>
      </c>
      <c r="AJ43">
        <v>8.7</v>
      </c>
      <c r="AK43">
        <v>31.7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0.08</v>
      </c>
      <c r="AU43" t="s">
        <v>19</v>
      </c>
      <c r="AV43">
        <v>0</v>
      </c>
      <c r="AW43">
        <v>2</v>
      </c>
      <c r="AX43">
        <v>45930191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Y43*Source!I30</f>
        <v>0.025</v>
      </c>
      <c r="CY43">
        <f>AB43</f>
        <v>869.04</v>
      </c>
      <c r="CZ43">
        <f>AF43</f>
        <v>99.89</v>
      </c>
      <c r="DA43">
        <f>AJ43</f>
        <v>8.7</v>
      </c>
      <c r="DB43">
        <v>0</v>
      </c>
    </row>
    <row r="44" spans="1:106" ht="12.75">
      <c r="A44">
        <f>ROW(Source!A30)</f>
        <v>30</v>
      </c>
      <c r="B44">
        <v>45926640</v>
      </c>
      <c r="C44">
        <v>45930188</v>
      </c>
      <c r="D44">
        <v>30682543</v>
      </c>
      <c r="E44">
        <v>1</v>
      </c>
      <c r="F44">
        <v>1</v>
      </c>
      <c r="G44">
        <v>1</v>
      </c>
      <c r="H44">
        <v>2</v>
      </c>
      <c r="I44" t="s">
        <v>440</v>
      </c>
      <c r="J44" t="s">
        <v>441</v>
      </c>
      <c r="K44" t="s">
        <v>442</v>
      </c>
      <c r="L44">
        <v>1368</v>
      </c>
      <c r="N44">
        <v>1011</v>
      </c>
      <c r="O44" t="s">
        <v>341</v>
      </c>
      <c r="P44" t="s">
        <v>341</v>
      </c>
      <c r="Q44">
        <v>1</v>
      </c>
      <c r="W44">
        <v>0</v>
      </c>
      <c r="X44">
        <v>344519037</v>
      </c>
      <c r="Y44">
        <v>0.3375</v>
      </c>
      <c r="AA44">
        <v>0</v>
      </c>
      <c r="AB44">
        <v>445.46</v>
      </c>
      <c r="AC44">
        <v>427.95</v>
      </c>
      <c r="AD44">
        <v>0</v>
      </c>
      <c r="AE44">
        <v>0</v>
      </c>
      <c r="AF44">
        <v>31.26</v>
      </c>
      <c r="AG44">
        <v>13.5</v>
      </c>
      <c r="AH44">
        <v>0</v>
      </c>
      <c r="AI44">
        <v>1</v>
      </c>
      <c r="AJ44">
        <v>14.25</v>
      </c>
      <c r="AK44">
        <v>31.7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0.27</v>
      </c>
      <c r="AU44" t="s">
        <v>19</v>
      </c>
      <c r="AV44">
        <v>0</v>
      </c>
      <c r="AW44">
        <v>2</v>
      </c>
      <c r="AX44">
        <v>45930192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Y44*Source!I30</f>
        <v>0.084375</v>
      </c>
      <c r="CY44">
        <f>AB44</f>
        <v>445.46</v>
      </c>
      <c r="CZ44">
        <f>AF44</f>
        <v>31.26</v>
      </c>
      <c r="DA44">
        <f>AJ44</f>
        <v>14.25</v>
      </c>
      <c r="DB44">
        <v>0</v>
      </c>
    </row>
    <row r="45" spans="1:106" ht="12.75">
      <c r="A45">
        <f>ROW(Source!A30)</f>
        <v>30</v>
      </c>
      <c r="B45">
        <v>45926640</v>
      </c>
      <c r="C45">
        <v>45930188</v>
      </c>
      <c r="D45">
        <v>30683129</v>
      </c>
      <c r="E45">
        <v>1</v>
      </c>
      <c r="F45">
        <v>1</v>
      </c>
      <c r="G45">
        <v>1</v>
      </c>
      <c r="H45">
        <v>2</v>
      </c>
      <c r="I45" t="s">
        <v>443</v>
      </c>
      <c r="J45" t="s">
        <v>444</v>
      </c>
      <c r="K45" t="s">
        <v>445</v>
      </c>
      <c r="L45">
        <v>1368</v>
      </c>
      <c r="N45">
        <v>1011</v>
      </c>
      <c r="O45" t="s">
        <v>341</v>
      </c>
      <c r="P45" t="s">
        <v>341</v>
      </c>
      <c r="Q45">
        <v>1</v>
      </c>
      <c r="W45">
        <v>0</v>
      </c>
      <c r="X45">
        <v>-1709160983</v>
      </c>
      <c r="Y45">
        <v>1.625</v>
      </c>
      <c r="AA45">
        <v>0</v>
      </c>
      <c r="AB45">
        <v>347.82</v>
      </c>
      <c r="AC45">
        <v>318.9</v>
      </c>
      <c r="AD45">
        <v>0</v>
      </c>
      <c r="AE45">
        <v>0</v>
      </c>
      <c r="AF45">
        <v>12.4</v>
      </c>
      <c r="AG45">
        <v>10.06</v>
      </c>
      <c r="AH45">
        <v>0</v>
      </c>
      <c r="AI45">
        <v>1</v>
      </c>
      <c r="AJ45">
        <v>28.05</v>
      </c>
      <c r="AK45">
        <v>31.7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1.3</v>
      </c>
      <c r="AU45" t="s">
        <v>19</v>
      </c>
      <c r="AV45">
        <v>0</v>
      </c>
      <c r="AW45">
        <v>2</v>
      </c>
      <c r="AX45">
        <v>45930193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Y45*Source!I30</f>
        <v>0.40625</v>
      </c>
      <c r="CY45">
        <f>AB45</f>
        <v>347.82</v>
      </c>
      <c r="CZ45">
        <f>AF45</f>
        <v>12.4</v>
      </c>
      <c r="DA45">
        <f>AJ45</f>
        <v>28.05</v>
      </c>
      <c r="DB45">
        <v>0</v>
      </c>
    </row>
    <row r="46" spans="1:106" ht="12.75">
      <c r="A46">
        <f>ROW(Source!A30)</f>
        <v>30</v>
      </c>
      <c r="B46">
        <v>45926640</v>
      </c>
      <c r="C46">
        <v>45930188</v>
      </c>
      <c r="D46">
        <v>30619970</v>
      </c>
      <c r="E46">
        <v>1</v>
      </c>
      <c r="F46">
        <v>1</v>
      </c>
      <c r="G46">
        <v>1</v>
      </c>
      <c r="H46">
        <v>3</v>
      </c>
      <c r="I46" t="s">
        <v>59</v>
      </c>
      <c r="J46" t="s">
        <v>61</v>
      </c>
      <c r="K46" t="s">
        <v>60</v>
      </c>
      <c r="L46">
        <v>1327</v>
      </c>
      <c r="N46">
        <v>1005</v>
      </c>
      <c r="O46" t="s">
        <v>30</v>
      </c>
      <c r="P46" t="s">
        <v>30</v>
      </c>
      <c r="Q46">
        <v>1</v>
      </c>
      <c r="W46">
        <v>1</v>
      </c>
      <c r="X46">
        <v>-554123694</v>
      </c>
      <c r="Y46">
        <v>-99</v>
      </c>
      <c r="AA46">
        <v>348.78</v>
      </c>
      <c r="AB46">
        <v>0</v>
      </c>
      <c r="AC46">
        <v>0</v>
      </c>
      <c r="AD46">
        <v>0</v>
      </c>
      <c r="AE46">
        <v>71.18</v>
      </c>
      <c r="AF46">
        <v>0</v>
      </c>
      <c r="AG46">
        <v>0</v>
      </c>
      <c r="AH46">
        <v>0</v>
      </c>
      <c r="AI46">
        <v>4.9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-99</v>
      </c>
      <c r="AV46">
        <v>0</v>
      </c>
      <c r="AW46">
        <v>2</v>
      </c>
      <c r="AX46">
        <v>45930194</v>
      </c>
      <c r="AY46">
        <v>1</v>
      </c>
      <c r="AZ46">
        <v>6144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Y46*Source!I30</f>
        <v>-24.75</v>
      </c>
      <c r="CY46">
        <f aca="true" t="shared" si="6" ref="CY46:CY52">AA46</f>
        <v>348.78</v>
      </c>
      <c r="CZ46">
        <f aca="true" t="shared" si="7" ref="CZ46:CZ52">AE46</f>
        <v>71.18</v>
      </c>
      <c r="DA46">
        <f aca="true" t="shared" si="8" ref="DA46:DA52">AI46</f>
        <v>4.9</v>
      </c>
      <c r="DB46">
        <v>0</v>
      </c>
    </row>
    <row r="47" spans="1:106" ht="12.75">
      <c r="A47">
        <f>ROW(Source!A30)</f>
        <v>30</v>
      </c>
      <c r="B47">
        <v>45926640</v>
      </c>
      <c r="C47">
        <v>45930188</v>
      </c>
      <c r="D47">
        <v>34459442</v>
      </c>
      <c r="E47">
        <v>1</v>
      </c>
      <c r="F47">
        <v>1</v>
      </c>
      <c r="G47">
        <v>1</v>
      </c>
      <c r="H47">
        <v>3</v>
      </c>
      <c r="I47" t="s">
        <v>63</v>
      </c>
      <c r="J47" t="s">
        <v>65</v>
      </c>
      <c r="K47" t="s">
        <v>64</v>
      </c>
      <c r="L47">
        <v>1327</v>
      </c>
      <c r="N47">
        <v>1005</v>
      </c>
      <c r="O47" t="s">
        <v>30</v>
      </c>
      <c r="P47" t="s">
        <v>30</v>
      </c>
      <c r="Q47">
        <v>1</v>
      </c>
      <c r="W47">
        <v>0</v>
      </c>
      <c r="X47">
        <v>90372741</v>
      </c>
      <c r="Y47">
        <v>99</v>
      </c>
      <c r="AA47">
        <v>452.95</v>
      </c>
      <c r="AB47">
        <v>0</v>
      </c>
      <c r="AC47">
        <v>0</v>
      </c>
      <c r="AD47">
        <v>0</v>
      </c>
      <c r="AE47">
        <v>452.95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T47">
        <v>99</v>
      </c>
      <c r="AV47">
        <v>0</v>
      </c>
      <c r="AW47">
        <v>1</v>
      </c>
      <c r="AX47">
        <v>-1</v>
      </c>
      <c r="AY47">
        <v>0</v>
      </c>
      <c r="AZ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Y47*Source!I30</f>
        <v>24.75</v>
      </c>
      <c r="CY47">
        <f t="shared" si="6"/>
        <v>452.95</v>
      </c>
      <c r="CZ47">
        <f t="shared" si="7"/>
        <v>452.95</v>
      </c>
      <c r="DA47">
        <f t="shared" si="8"/>
        <v>1</v>
      </c>
      <c r="DB47">
        <v>0</v>
      </c>
    </row>
    <row r="48" spans="1:106" ht="12.75">
      <c r="A48">
        <f>ROW(Source!A30)</f>
        <v>30</v>
      </c>
      <c r="B48">
        <v>45926640</v>
      </c>
      <c r="C48">
        <v>45930188</v>
      </c>
      <c r="D48">
        <v>30619855</v>
      </c>
      <c r="E48">
        <v>1</v>
      </c>
      <c r="F48">
        <v>1</v>
      </c>
      <c r="G48">
        <v>1</v>
      </c>
      <c r="H48">
        <v>3</v>
      </c>
      <c r="I48" t="s">
        <v>446</v>
      </c>
      <c r="J48" t="s">
        <v>447</v>
      </c>
      <c r="K48" t="s">
        <v>448</v>
      </c>
      <c r="L48">
        <v>1035</v>
      </c>
      <c r="N48">
        <v>1013</v>
      </c>
      <c r="O48" t="s">
        <v>44</v>
      </c>
      <c r="P48" t="s">
        <v>44</v>
      </c>
      <c r="Q48">
        <v>1</v>
      </c>
      <c r="W48">
        <v>0</v>
      </c>
      <c r="X48">
        <v>1214699170</v>
      </c>
      <c r="Y48">
        <v>7</v>
      </c>
      <c r="AA48">
        <v>2014.83</v>
      </c>
      <c r="AB48">
        <v>0</v>
      </c>
      <c r="AC48">
        <v>0</v>
      </c>
      <c r="AD48">
        <v>0</v>
      </c>
      <c r="AE48">
        <v>316.3</v>
      </c>
      <c r="AF48">
        <v>0</v>
      </c>
      <c r="AG48">
        <v>0</v>
      </c>
      <c r="AH48">
        <v>0</v>
      </c>
      <c r="AI48">
        <v>6.37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7</v>
      </c>
      <c r="AV48">
        <v>0</v>
      </c>
      <c r="AW48">
        <v>2</v>
      </c>
      <c r="AX48">
        <v>45930195</v>
      </c>
      <c r="AY48">
        <v>1</v>
      </c>
      <c r="AZ48">
        <v>0</v>
      </c>
      <c r="BA48">
        <v>47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Y48*Source!I30</f>
        <v>1.75</v>
      </c>
      <c r="CY48">
        <f t="shared" si="6"/>
        <v>2014.83</v>
      </c>
      <c r="CZ48">
        <f t="shared" si="7"/>
        <v>316.3</v>
      </c>
      <c r="DA48">
        <f t="shared" si="8"/>
        <v>6.37</v>
      </c>
      <c r="DB48">
        <v>0</v>
      </c>
    </row>
    <row r="49" spans="1:106" ht="12.75">
      <c r="A49">
        <f>ROW(Source!A30)</f>
        <v>30</v>
      </c>
      <c r="B49">
        <v>45926640</v>
      </c>
      <c r="C49">
        <v>45930188</v>
      </c>
      <c r="D49">
        <v>30617787</v>
      </c>
      <c r="E49">
        <v>1</v>
      </c>
      <c r="F49">
        <v>1</v>
      </c>
      <c r="G49">
        <v>1</v>
      </c>
      <c r="H49">
        <v>3</v>
      </c>
      <c r="I49" t="s">
        <v>449</v>
      </c>
      <c r="J49" t="s">
        <v>450</v>
      </c>
      <c r="K49" t="s">
        <v>451</v>
      </c>
      <c r="L49">
        <v>1346</v>
      </c>
      <c r="N49">
        <v>1009</v>
      </c>
      <c r="O49" t="s">
        <v>351</v>
      </c>
      <c r="P49" t="s">
        <v>351</v>
      </c>
      <c r="Q49">
        <v>1</v>
      </c>
      <c r="W49">
        <v>0</v>
      </c>
      <c r="X49">
        <v>644139035</v>
      </c>
      <c r="Y49">
        <v>0.5</v>
      </c>
      <c r="AA49">
        <v>46.61</v>
      </c>
      <c r="AB49">
        <v>0</v>
      </c>
      <c r="AC49">
        <v>0</v>
      </c>
      <c r="AD49">
        <v>0</v>
      </c>
      <c r="AE49">
        <v>1.81</v>
      </c>
      <c r="AF49">
        <v>0</v>
      </c>
      <c r="AG49">
        <v>0</v>
      </c>
      <c r="AH49">
        <v>0</v>
      </c>
      <c r="AI49">
        <v>25.75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0.5</v>
      </c>
      <c r="AV49">
        <v>0</v>
      </c>
      <c r="AW49">
        <v>2</v>
      </c>
      <c r="AX49">
        <v>45930196</v>
      </c>
      <c r="AY49">
        <v>1</v>
      </c>
      <c r="AZ49">
        <v>0</v>
      </c>
      <c r="BA49">
        <v>48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Y49*Source!I30</f>
        <v>0.125</v>
      </c>
      <c r="CY49">
        <f t="shared" si="6"/>
        <v>46.61</v>
      </c>
      <c r="CZ49">
        <f t="shared" si="7"/>
        <v>1.81</v>
      </c>
      <c r="DA49">
        <f t="shared" si="8"/>
        <v>25.75</v>
      </c>
      <c r="DB49">
        <v>0</v>
      </c>
    </row>
    <row r="50" spans="1:106" ht="12.75">
      <c r="A50">
        <f>ROW(Source!A30)</f>
        <v>30</v>
      </c>
      <c r="B50">
        <v>45926640</v>
      </c>
      <c r="C50">
        <v>45930188</v>
      </c>
      <c r="D50">
        <v>30619392</v>
      </c>
      <c r="E50">
        <v>1</v>
      </c>
      <c r="F50">
        <v>1</v>
      </c>
      <c r="G50">
        <v>1</v>
      </c>
      <c r="H50">
        <v>3</v>
      </c>
      <c r="I50" t="s">
        <v>452</v>
      </c>
      <c r="J50" t="s">
        <v>453</v>
      </c>
      <c r="K50" t="s">
        <v>454</v>
      </c>
      <c r="L50">
        <v>1348</v>
      </c>
      <c r="N50">
        <v>1009</v>
      </c>
      <c r="O50" t="s">
        <v>406</v>
      </c>
      <c r="P50" t="s">
        <v>406</v>
      </c>
      <c r="Q50">
        <v>1000</v>
      </c>
      <c r="W50">
        <v>0</v>
      </c>
      <c r="X50">
        <v>2064550461</v>
      </c>
      <c r="Y50">
        <v>0.375</v>
      </c>
      <c r="AA50">
        <v>10703.68</v>
      </c>
      <c r="AB50">
        <v>0</v>
      </c>
      <c r="AC50">
        <v>0</v>
      </c>
      <c r="AD50">
        <v>0</v>
      </c>
      <c r="AE50">
        <v>4316</v>
      </c>
      <c r="AF50">
        <v>0</v>
      </c>
      <c r="AG50">
        <v>0</v>
      </c>
      <c r="AH50">
        <v>0</v>
      </c>
      <c r="AI50">
        <v>2.48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0.375</v>
      </c>
      <c r="AV50">
        <v>0</v>
      </c>
      <c r="AW50">
        <v>2</v>
      </c>
      <c r="AX50">
        <v>45930197</v>
      </c>
      <c r="AY50">
        <v>1</v>
      </c>
      <c r="AZ50">
        <v>0</v>
      </c>
      <c r="BA50">
        <v>49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Y50*Source!I30</f>
        <v>0.09375</v>
      </c>
      <c r="CY50">
        <f t="shared" si="6"/>
        <v>10703.68</v>
      </c>
      <c r="CZ50">
        <f t="shared" si="7"/>
        <v>4316</v>
      </c>
      <c r="DA50">
        <f t="shared" si="8"/>
        <v>2.48</v>
      </c>
      <c r="DB50">
        <v>0</v>
      </c>
    </row>
    <row r="51" spans="1:106" ht="12.75">
      <c r="A51">
        <f>ROW(Source!A30)</f>
        <v>30</v>
      </c>
      <c r="B51">
        <v>45926640</v>
      </c>
      <c r="C51">
        <v>45930188</v>
      </c>
      <c r="D51">
        <v>30655339</v>
      </c>
      <c r="E51">
        <v>1</v>
      </c>
      <c r="F51">
        <v>1</v>
      </c>
      <c r="G51">
        <v>1</v>
      </c>
      <c r="H51">
        <v>3</v>
      </c>
      <c r="I51" t="s">
        <v>455</v>
      </c>
      <c r="J51" t="s">
        <v>456</v>
      </c>
      <c r="K51" t="s">
        <v>457</v>
      </c>
      <c r="L51">
        <v>1348</v>
      </c>
      <c r="N51">
        <v>1009</v>
      </c>
      <c r="O51" t="s">
        <v>406</v>
      </c>
      <c r="P51" t="s">
        <v>406</v>
      </c>
      <c r="Q51">
        <v>1000</v>
      </c>
      <c r="W51">
        <v>0</v>
      </c>
      <c r="X51">
        <v>1138662306</v>
      </c>
      <c r="Y51">
        <v>0.05</v>
      </c>
      <c r="AA51">
        <v>57556.79</v>
      </c>
      <c r="AB51">
        <v>0</v>
      </c>
      <c r="AC51">
        <v>0</v>
      </c>
      <c r="AD51">
        <v>0</v>
      </c>
      <c r="AE51">
        <v>9298.35</v>
      </c>
      <c r="AF51">
        <v>0</v>
      </c>
      <c r="AG51">
        <v>0</v>
      </c>
      <c r="AH51">
        <v>0</v>
      </c>
      <c r="AI51">
        <v>6.19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0.05</v>
      </c>
      <c r="AV51">
        <v>0</v>
      </c>
      <c r="AW51">
        <v>2</v>
      </c>
      <c r="AX51">
        <v>45930198</v>
      </c>
      <c r="AY51">
        <v>1</v>
      </c>
      <c r="AZ51">
        <v>0</v>
      </c>
      <c r="BA51">
        <v>50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Y51*Source!I30</f>
        <v>0.0125</v>
      </c>
      <c r="CY51">
        <f t="shared" si="6"/>
        <v>57556.79</v>
      </c>
      <c r="CZ51">
        <f t="shared" si="7"/>
        <v>9298.35</v>
      </c>
      <c r="DA51">
        <f t="shared" si="8"/>
        <v>6.19</v>
      </c>
      <c r="DB51">
        <v>0</v>
      </c>
    </row>
    <row r="52" spans="1:106" ht="12.75">
      <c r="A52">
        <f>ROW(Source!A30)</f>
        <v>30</v>
      </c>
      <c r="B52">
        <v>45926640</v>
      </c>
      <c r="C52">
        <v>45930188</v>
      </c>
      <c r="D52">
        <v>30660027</v>
      </c>
      <c r="E52">
        <v>1</v>
      </c>
      <c r="F52">
        <v>1</v>
      </c>
      <c r="G52">
        <v>1</v>
      </c>
      <c r="H52">
        <v>3</v>
      </c>
      <c r="I52" t="s">
        <v>385</v>
      </c>
      <c r="J52" t="s">
        <v>458</v>
      </c>
      <c r="K52" t="s">
        <v>387</v>
      </c>
      <c r="L52">
        <v>1339</v>
      </c>
      <c r="N52">
        <v>1007</v>
      </c>
      <c r="O52" t="s">
        <v>388</v>
      </c>
      <c r="P52" t="s">
        <v>388</v>
      </c>
      <c r="Q52">
        <v>1</v>
      </c>
      <c r="W52">
        <v>0</v>
      </c>
      <c r="X52">
        <v>619799737</v>
      </c>
      <c r="Y52">
        <v>0.93</v>
      </c>
      <c r="AA52">
        <v>22.2</v>
      </c>
      <c r="AB52">
        <v>0</v>
      </c>
      <c r="AC52">
        <v>0</v>
      </c>
      <c r="AD52">
        <v>0</v>
      </c>
      <c r="AE52">
        <v>2.44</v>
      </c>
      <c r="AF52">
        <v>0</v>
      </c>
      <c r="AG52">
        <v>0</v>
      </c>
      <c r="AH52">
        <v>0</v>
      </c>
      <c r="AI52">
        <v>9.1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0.93</v>
      </c>
      <c r="AV52">
        <v>0</v>
      </c>
      <c r="AW52">
        <v>2</v>
      </c>
      <c r="AX52">
        <v>45930199</v>
      </c>
      <c r="AY52">
        <v>1</v>
      </c>
      <c r="AZ52">
        <v>0</v>
      </c>
      <c r="BA52">
        <v>51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Y52*Source!I30</f>
        <v>0.2325</v>
      </c>
      <c r="CY52">
        <f t="shared" si="6"/>
        <v>22.2</v>
      </c>
      <c r="CZ52">
        <f t="shared" si="7"/>
        <v>2.44</v>
      </c>
      <c r="DA52">
        <f t="shared" si="8"/>
        <v>9.1</v>
      </c>
      <c r="DB52">
        <v>0</v>
      </c>
    </row>
    <row r="53" spans="1:106" ht="12.75">
      <c r="A53">
        <f>ROW(Source!A33)</f>
        <v>33</v>
      </c>
      <c r="B53">
        <v>45926640</v>
      </c>
      <c r="C53">
        <v>45926806</v>
      </c>
      <c r="D53">
        <v>37728151</v>
      </c>
      <c r="E53">
        <v>1</v>
      </c>
      <c r="F53">
        <v>1</v>
      </c>
      <c r="G53">
        <v>1</v>
      </c>
      <c r="H53">
        <v>1</v>
      </c>
      <c r="I53" t="s">
        <v>459</v>
      </c>
      <c r="K53" t="s">
        <v>460</v>
      </c>
      <c r="L53">
        <v>1369</v>
      </c>
      <c r="N53">
        <v>1013</v>
      </c>
      <c r="O53" t="s">
        <v>335</v>
      </c>
      <c r="P53" t="s">
        <v>335</v>
      </c>
      <c r="Q53">
        <v>1</v>
      </c>
      <c r="W53">
        <v>0</v>
      </c>
      <c r="X53">
        <v>1499813984</v>
      </c>
      <c r="Y53">
        <v>88.12449999999998</v>
      </c>
      <c r="AA53">
        <v>0</v>
      </c>
      <c r="AB53">
        <v>0</v>
      </c>
      <c r="AC53">
        <v>0</v>
      </c>
      <c r="AD53">
        <v>8.74</v>
      </c>
      <c r="AE53">
        <v>0</v>
      </c>
      <c r="AF53">
        <v>0</v>
      </c>
      <c r="AG53">
        <v>0</v>
      </c>
      <c r="AH53">
        <v>8.74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76.63</v>
      </c>
      <c r="AU53" t="s">
        <v>20</v>
      </c>
      <c r="AV53">
        <v>1</v>
      </c>
      <c r="AW53">
        <v>2</v>
      </c>
      <c r="AX53">
        <v>45926819</v>
      </c>
      <c r="AY53">
        <v>1</v>
      </c>
      <c r="AZ53">
        <v>0</v>
      </c>
      <c r="BA53">
        <v>52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Y53*Source!I33</f>
        <v>3.6131044999999995</v>
      </c>
      <c r="CY53">
        <f>AD53</f>
        <v>8.74</v>
      </c>
      <c r="CZ53">
        <f>AH53</f>
        <v>8.74</v>
      </c>
      <c r="DA53">
        <f>AL53</f>
        <v>1</v>
      </c>
      <c r="DB53">
        <v>0</v>
      </c>
    </row>
    <row r="54" spans="1:106" ht="12.75">
      <c r="A54">
        <f>ROW(Source!A33)</f>
        <v>33</v>
      </c>
      <c r="B54">
        <v>45926640</v>
      </c>
      <c r="C54">
        <v>45926806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32</v>
      </c>
      <c r="K54" t="s">
        <v>336</v>
      </c>
      <c r="L54">
        <v>608254</v>
      </c>
      <c r="N54">
        <v>1013</v>
      </c>
      <c r="O54" t="s">
        <v>337</v>
      </c>
      <c r="P54" t="s">
        <v>337</v>
      </c>
      <c r="Q54">
        <v>1</v>
      </c>
      <c r="W54">
        <v>0</v>
      </c>
      <c r="X54">
        <v>-185737400</v>
      </c>
      <c r="Y54">
        <v>5.2749999999999995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4.22</v>
      </c>
      <c r="AU54" t="s">
        <v>19</v>
      </c>
      <c r="AV54">
        <v>2</v>
      </c>
      <c r="AW54">
        <v>2</v>
      </c>
      <c r="AX54">
        <v>45926820</v>
      </c>
      <c r="AY54">
        <v>1</v>
      </c>
      <c r="AZ54">
        <v>0</v>
      </c>
      <c r="BA54">
        <v>53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Y54*Source!I33</f>
        <v>0.216275</v>
      </c>
      <c r="CY54">
        <f>AD54</f>
        <v>0</v>
      </c>
      <c r="CZ54">
        <f>AH54</f>
        <v>0</v>
      </c>
      <c r="DA54">
        <f>AL54</f>
        <v>1</v>
      </c>
      <c r="DB54">
        <v>0</v>
      </c>
    </row>
    <row r="55" spans="1:106" ht="12.75">
      <c r="A55">
        <f>ROW(Source!A33)</f>
        <v>33</v>
      </c>
      <c r="B55">
        <v>45926640</v>
      </c>
      <c r="C55">
        <v>45926806</v>
      </c>
      <c r="D55">
        <v>37726160</v>
      </c>
      <c r="E55">
        <v>1</v>
      </c>
      <c r="F55">
        <v>1</v>
      </c>
      <c r="G55">
        <v>1</v>
      </c>
      <c r="H55">
        <v>2</v>
      </c>
      <c r="I55" t="s">
        <v>437</v>
      </c>
      <c r="J55" t="s">
        <v>461</v>
      </c>
      <c r="K55" t="s">
        <v>439</v>
      </c>
      <c r="L55">
        <v>1368</v>
      </c>
      <c r="N55">
        <v>1011</v>
      </c>
      <c r="O55" t="s">
        <v>341</v>
      </c>
      <c r="P55" t="s">
        <v>341</v>
      </c>
      <c r="Q55">
        <v>1</v>
      </c>
      <c r="W55">
        <v>0</v>
      </c>
      <c r="X55">
        <v>-112483710</v>
      </c>
      <c r="Y55">
        <v>0.44999999999999996</v>
      </c>
      <c r="AA55">
        <v>0</v>
      </c>
      <c r="AB55">
        <v>869.04</v>
      </c>
      <c r="AC55">
        <v>318.9</v>
      </c>
      <c r="AD55">
        <v>0</v>
      </c>
      <c r="AE55">
        <v>0</v>
      </c>
      <c r="AF55">
        <v>99.89</v>
      </c>
      <c r="AG55">
        <v>10.06</v>
      </c>
      <c r="AH55">
        <v>0</v>
      </c>
      <c r="AI55">
        <v>1</v>
      </c>
      <c r="AJ55">
        <v>8.7</v>
      </c>
      <c r="AK55">
        <v>31.7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0.36</v>
      </c>
      <c r="AU55" t="s">
        <v>19</v>
      </c>
      <c r="AV55">
        <v>0</v>
      </c>
      <c r="AW55">
        <v>2</v>
      </c>
      <c r="AX55">
        <v>45926821</v>
      </c>
      <c r="AY55">
        <v>1</v>
      </c>
      <c r="AZ55">
        <v>0</v>
      </c>
      <c r="BA55">
        <v>54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Y55*Source!I33</f>
        <v>0.018449999999999998</v>
      </c>
      <c r="CY55">
        <f>AB55</f>
        <v>869.04</v>
      </c>
      <c r="CZ55">
        <f>AF55</f>
        <v>99.89</v>
      </c>
      <c r="DA55">
        <f>AJ55</f>
        <v>8.7</v>
      </c>
      <c r="DB55">
        <v>0</v>
      </c>
    </row>
    <row r="56" spans="1:106" ht="12.75">
      <c r="A56">
        <f>ROW(Source!A33)</f>
        <v>33</v>
      </c>
      <c r="B56">
        <v>45926640</v>
      </c>
      <c r="C56">
        <v>45926806</v>
      </c>
      <c r="D56">
        <v>37726184</v>
      </c>
      <c r="E56">
        <v>1</v>
      </c>
      <c r="F56">
        <v>1</v>
      </c>
      <c r="G56">
        <v>1</v>
      </c>
      <c r="H56">
        <v>2</v>
      </c>
      <c r="I56" t="s">
        <v>462</v>
      </c>
      <c r="J56" t="s">
        <v>463</v>
      </c>
      <c r="K56" t="s">
        <v>464</v>
      </c>
      <c r="L56">
        <v>1368</v>
      </c>
      <c r="N56">
        <v>1011</v>
      </c>
      <c r="O56" t="s">
        <v>341</v>
      </c>
      <c r="P56" t="s">
        <v>341</v>
      </c>
      <c r="Q56">
        <v>1</v>
      </c>
      <c r="W56">
        <v>0</v>
      </c>
      <c r="X56">
        <v>207395749</v>
      </c>
      <c r="Y56">
        <v>2.875</v>
      </c>
      <c r="AA56">
        <v>0</v>
      </c>
      <c r="AB56">
        <v>417.74</v>
      </c>
      <c r="AC56">
        <v>367.72</v>
      </c>
      <c r="AD56">
        <v>0</v>
      </c>
      <c r="AE56">
        <v>0</v>
      </c>
      <c r="AF56">
        <v>29.46</v>
      </c>
      <c r="AG56">
        <v>11.6</v>
      </c>
      <c r="AH56">
        <v>0</v>
      </c>
      <c r="AI56">
        <v>1</v>
      </c>
      <c r="AJ56">
        <v>14.18</v>
      </c>
      <c r="AK56">
        <v>31.7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2.3</v>
      </c>
      <c r="AU56" t="s">
        <v>19</v>
      </c>
      <c r="AV56">
        <v>0</v>
      </c>
      <c r="AW56">
        <v>2</v>
      </c>
      <c r="AX56">
        <v>45926822</v>
      </c>
      <c r="AY56">
        <v>1</v>
      </c>
      <c r="AZ56">
        <v>0</v>
      </c>
      <c r="BA56">
        <v>55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Y56*Source!I33</f>
        <v>0.11787500000000001</v>
      </c>
      <c r="CY56">
        <f>AB56</f>
        <v>417.74</v>
      </c>
      <c r="CZ56">
        <f>AF56</f>
        <v>29.46</v>
      </c>
      <c r="DA56">
        <f>AJ56</f>
        <v>14.18</v>
      </c>
      <c r="DB56">
        <v>0</v>
      </c>
    </row>
    <row r="57" spans="1:106" ht="12.75">
      <c r="A57">
        <f>ROW(Source!A33)</f>
        <v>33</v>
      </c>
      <c r="B57">
        <v>45926640</v>
      </c>
      <c r="C57">
        <v>45926806</v>
      </c>
      <c r="D57">
        <v>37726236</v>
      </c>
      <c r="E57">
        <v>1</v>
      </c>
      <c r="F57">
        <v>1</v>
      </c>
      <c r="G57">
        <v>1</v>
      </c>
      <c r="H57">
        <v>2</v>
      </c>
      <c r="I57" t="s">
        <v>443</v>
      </c>
      <c r="J57" t="s">
        <v>465</v>
      </c>
      <c r="K57" t="s">
        <v>445</v>
      </c>
      <c r="L57">
        <v>1368</v>
      </c>
      <c r="N57">
        <v>1011</v>
      </c>
      <c r="O57" t="s">
        <v>341</v>
      </c>
      <c r="P57" t="s">
        <v>341</v>
      </c>
      <c r="Q57">
        <v>1</v>
      </c>
      <c r="W57">
        <v>0</v>
      </c>
      <c r="X57">
        <v>-1636209361</v>
      </c>
      <c r="Y57">
        <v>1.9500000000000002</v>
      </c>
      <c r="AA57">
        <v>0</v>
      </c>
      <c r="AB57">
        <v>347.82</v>
      </c>
      <c r="AC57">
        <v>318.9</v>
      </c>
      <c r="AD57">
        <v>0</v>
      </c>
      <c r="AE57">
        <v>0</v>
      </c>
      <c r="AF57">
        <v>12.4</v>
      </c>
      <c r="AG57">
        <v>10.06</v>
      </c>
      <c r="AH57">
        <v>0</v>
      </c>
      <c r="AI57">
        <v>1</v>
      </c>
      <c r="AJ57">
        <v>28.05</v>
      </c>
      <c r="AK57">
        <v>31.7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1.56</v>
      </c>
      <c r="AU57" t="s">
        <v>19</v>
      </c>
      <c r="AV57">
        <v>0</v>
      </c>
      <c r="AW57">
        <v>2</v>
      </c>
      <c r="AX57">
        <v>45926823</v>
      </c>
      <c r="AY57">
        <v>1</v>
      </c>
      <c r="AZ57">
        <v>0</v>
      </c>
      <c r="BA57">
        <v>56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Y57*Source!I33</f>
        <v>0.07995000000000001</v>
      </c>
      <c r="CY57">
        <f>AB57</f>
        <v>347.82</v>
      </c>
      <c r="CZ57">
        <f>AF57</f>
        <v>12.4</v>
      </c>
      <c r="DA57">
        <f>AJ57</f>
        <v>28.05</v>
      </c>
      <c r="DB57">
        <v>0</v>
      </c>
    </row>
    <row r="58" spans="1:106" ht="12.75">
      <c r="A58">
        <f>ROW(Source!A33)</f>
        <v>33</v>
      </c>
      <c r="B58">
        <v>45926640</v>
      </c>
      <c r="C58">
        <v>45926806</v>
      </c>
      <c r="D58">
        <v>37726396</v>
      </c>
      <c r="E58">
        <v>1</v>
      </c>
      <c r="F58">
        <v>1</v>
      </c>
      <c r="G58">
        <v>1</v>
      </c>
      <c r="H58">
        <v>2</v>
      </c>
      <c r="I58" t="s">
        <v>466</v>
      </c>
      <c r="J58" t="s">
        <v>467</v>
      </c>
      <c r="K58" t="s">
        <v>468</v>
      </c>
      <c r="L58">
        <v>1368</v>
      </c>
      <c r="N58">
        <v>1011</v>
      </c>
      <c r="O58" t="s">
        <v>341</v>
      </c>
      <c r="P58" t="s">
        <v>341</v>
      </c>
      <c r="Q58">
        <v>1</v>
      </c>
      <c r="W58">
        <v>0</v>
      </c>
      <c r="X58">
        <v>-1084037678</v>
      </c>
      <c r="Y58">
        <v>0.0625</v>
      </c>
      <c r="AA58">
        <v>0</v>
      </c>
      <c r="AB58">
        <v>17.45</v>
      </c>
      <c r="AC58">
        <v>0</v>
      </c>
      <c r="AD58">
        <v>0</v>
      </c>
      <c r="AE58">
        <v>0</v>
      </c>
      <c r="AF58">
        <v>9.97</v>
      </c>
      <c r="AG58">
        <v>0</v>
      </c>
      <c r="AH58">
        <v>0</v>
      </c>
      <c r="AI58">
        <v>1</v>
      </c>
      <c r="AJ58">
        <v>1.75</v>
      </c>
      <c r="AK58">
        <v>31.7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0.05</v>
      </c>
      <c r="AU58" t="s">
        <v>19</v>
      </c>
      <c r="AV58">
        <v>0</v>
      </c>
      <c r="AW58">
        <v>2</v>
      </c>
      <c r="AX58">
        <v>45926824</v>
      </c>
      <c r="AY58">
        <v>1</v>
      </c>
      <c r="AZ58">
        <v>0</v>
      </c>
      <c r="BA58">
        <v>57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Y58*Source!I33</f>
        <v>0.0025625</v>
      </c>
      <c r="CY58">
        <f>AB58</f>
        <v>17.45</v>
      </c>
      <c r="CZ58">
        <f>AF58</f>
        <v>9.97</v>
      </c>
      <c r="DA58">
        <f>AJ58</f>
        <v>1.75</v>
      </c>
      <c r="DB58">
        <v>0</v>
      </c>
    </row>
    <row r="59" spans="1:106" ht="12.75">
      <c r="A59">
        <f>ROW(Source!A33)</f>
        <v>33</v>
      </c>
      <c r="B59">
        <v>45926640</v>
      </c>
      <c r="C59">
        <v>45926806</v>
      </c>
      <c r="D59">
        <v>37726429</v>
      </c>
      <c r="E59">
        <v>1</v>
      </c>
      <c r="F59">
        <v>1</v>
      </c>
      <c r="G59">
        <v>1</v>
      </c>
      <c r="H59">
        <v>2</v>
      </c>
      <c r="I59" t="s">
        <v>400</v>
      </c>
      <c r="J59" t="s">
        <v>469</v>
      </c>
      <c r="K59" t="s">
        <v>402</v>
      </c>
      <c r="L59">
        <v>1368</v>
      </c>
      <c r="N59">
        <v>1011</v>
      </c>
      <c r="O59" t="s">
        <v>341</v>
      </c>
      <c r="P59" t="s">
        <v>341</v>
      </c>
      <c r="Q59">
        <v>1</v>
      </c>
      <c r="W59">
        <v>0</v>
      </c>
      <c r="X59">
        <v>1062115854</v>
      </c>
      <c r="Y59">
        <v>0.35000000000000003</v>
      </c>
      <c r="AA59">
        <v>0</v>
      </c>
      <c r="AB59">
        <v>908.31</v>
      </c>
      <c r="AC59">
        <v>367.72</v>
      </c>
      <c r="AD59">
        <v>0</v>
      </c>
      <c r="AE59">
        <v>0</v>
      </c>
      <c r="AF59">
        <v>87.17</v>
      </c>
      <c r="AG59">
        <v>11.6</v>
      </c>
      <c r="AH59">
        <v>0</v>
      </c>
      <c r="AI59">
        <v>1</v>
      </c>
      <c r="AJ59">
        <v>10.42</v>
      </c>
      <c r="AK59">
        <v>31.7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0.28</v>
      </c>
      <c r="AU59" t="s">
        <v>19</v>
      </c>
      <c r="AV59">
        <v>0</v>
      </c>
      <c r="AW59">
        <v>2</v>
      </c>
      <c r="AX59">
        <v>45926825</v>
      </c>
      <c r="AY59">
        <v>1</v>
      </c>
      <c r="AZ59">
        <v>0</v>
      </c>
      <c r="BA59">
        <v>58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Y59*Source!I33</f>
        <v>0.014350000000000002</v>
      </c>
      <c r="CY59">
        <f>AB59</f>
        <v>908.31</v>
      </c>
      <c r="CZ59">
        <f>AF59</f>
        <v>87.17</v>
      </c>
      <c r="DA59">
        <f>AJ59</f>
        <v>10.42</v>
      </c>
      <c r="DB59">
        <v>0</v>
      </c>
    </row>
    <row r="60" spans="1:106" ht="12.75">
      <c r="A60">
        <f>ROW(Source!A33)</f>
        <v>33</v>
      </c>
      <c r="B60">
        <v>45926640</v>
      </c>
      <c r="C60">
        <v>45926806</v>
      </c>
      <c r="D60">
        <v>37724506</v>
      </c>
      <c r="E60">
        <v>1</v>
      </c>
      <c r="F60">
        <v>1</v>
      </c>
      <c r="G60">
        <v>1</v>
      </c>
      <c r="H60">
        <v>3</v>
      </c>
      <c r="I60" t="s">
        <v>449</v>
      </c>
      <c r="J60" t="s">
        <v>470</v>
      </c>
      <c r="K60" t="s">
        <v>451</v>
      </c>
      <c r="L60">
        <v>1346</v>
      </c>
      <c r="N60">
        <v>1009</v>
      </c>
      <c r="O60" t="s">
        <v>351</v>
      </c>
      <c r="P60" t="s">
        <v>351</v>
      </c>
      <c r="Q60">
        <v>1</v>
      </c>
      <c r="W60">
        <v>0</v>
      </c>
      <c r="X60">
        <v>4619106</v>
      </c>
      <c r="Y60">
        <v>0.5</v>
      </c>
      <c r="AA60">
        <v>46.61</v>
      </c>
      <c r="AB60">
        <v>0</v>
      </c>
      <c r="AC60">
        <v>0</v>
      </c>
      <c r="AD60">
        <v>0</v>
      </c>
      <c r="AE60">
        <v>1.81</v>
      </c>
      <c r="AF60">
        <v>0</v>
      </c>
      <c r="AG60">
        <v>0</v>
      </c>
      <c r="AH60">
        <v>0</v>
      </c>
      <c r="AI60">
        <v>25.75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0.5</v>
      </c>
      <c r="AV60">
        <v>0</v>
      </c>
      <c r="AW60">
        <v>2</v>
      </c>
      <c r="AX60">
        <v>45926826</v>
      </c>
      <c r="AY60">
        <v>1</v>
      </c>
      <c r="AZ60">
        <v>0</v>
      </c>
      <c r="BA60">
        <v>59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Y60*Source!I33</f>
        <v>0.0205</v>
      </c>
      <c r="CY60">
        <f>AA60</f>
        <v>46.61</v>
      </c>
      <c r="CZ60">
        <f>AE60</f>
        <v>1.81</v>
      </c>
      <c r="DA60">
        <f>AI60</f>
        <v>25.75</v>
      </c>
      <c r="DB60">
        <v>0</v>
      </c>
    </row>
    <row r="61" spans="1:106" ht="12.75">
      <c r="A61">
        <f>ROW(Source!A33)</f>
        <v>33</v>
      </c>
      <c r="B61">
        <v>45926640</v>
      </c>
      <c r="C61">
        <v>45926806</v>
      </c>
      <c r="D61">
        <v>37724508</v>
      </c>
      <c r="E61">
        <v>1</v>
      </c>
      <c r="F61">
        <v>1</v>
      </c>
      <c r="G61">
        <v>1</v>
      </c>
      <c r="H61">
        <v>3</v>
      </c>
      <c r="I61" t="s">
        <v>471</v>
      </c>
      <c r="J61" t="s">
        <v>472</v>
      </c>
      <c r="K61" t="s">
        <v>473</v>
      </c>
      <c r="L61">
        <v>1348</v>
      </c>
      <c r="N61">
        <v>1009</v>
      </c>
      <c r="O61" t="s">
        <v>406</v>
      </c>
      <c r="P61" t="s">
        <v>406</v>
      </c>
      <c r="Q61">
        <v>1000</v>
      </c>
      <c r="W61">
        <v>0</v>
      </c>
      <c r="X61">
        <v>1220443644</v>
      </c>
      <c r="Y61">
        <v>0.05</v>
      </c>
      <c r="AA61">
        <v>38737.9</v>
      </c>
      <c r="AB61">
        <v>0</v>
      </c>
      <c r="AC61">
        <v>0</v>
      </c>
      <c r="AD61">
        <v>0</v>
      </c>
      <c r="AE61">
        <v>6532.53</v>
      </c>
      <c r="AF61">
        <v>0</v>
      </c>
      <c r="AG61">
        <v>0</v>
      </c>
      <c r="AH61">
        <v>0</v>
      </c>
      <c r="AI61">
        <v>5.93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0.05</v>
      </c>
      <c r="AV61">
        <v>0</v>
      </c>
      <c r="AW61">
        <v>2</v>
      </c>
      <c r="AX61">
        <v>45926827</v>
      </c>
      <c r="AY61">
        <v>1</v>
      </c>
      <c r="AZ61">
        <v>0</v>
      </c>
      <c r="BA61">
        <v>60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Y61*Source!I33</f>
        <v>0.00205</v>
      </c>
      <c r="CY61">
        <f>AA61</f>
        <v>38737.9</v>
      </c>
      <c r="CZ61">
        <f>AE61</f>
        <v>6532.53</v>
      </c>
      <c r="DA61">
        <f>AI61</f>
        <v>5.93</v>
      </c>
      <c r="DB61">
        <v>0</v>
      </c>
    </row>
    <row r="62" spans="1:106" ht="12.75">
      <c r="A62">
        <f>ROW(Source!A33)</f>
        <v>33</v>
      </c>
      <c r="B62">
        <v>45926640</v>
      </c>
      <c r="C62">
        <v>45926806</v>
      </c>
      <c r="D62">
        <v>37724553</v>
      </c>
      <c r="E62">
        <v>1</v>
      </c>
      <c r="F62">
        <v>1</v>
      </c>
      <c r="G62">
        <v>1</v>
      </c>
      <c r="H62">
        <v>3</v>
      </c>
      <c r="I62" t="s">
        <v>474</v>
      </c>
      <c r="J62" t="s">
        <v>475</v>
      </c>
      <c r="K62" t="s">
        <v>476</v>
      </c>
      <c r="L62">
        <v>1346</v>
      </c>
      <c r="N62">
        <v>1009</v>
      </c>
      <c r="O62" t="s">
        <v>351</v>
      </c>
      <c r="P62" t="s">
        <v>351</v>
      </c>
      <c r="Q62">
        <v>1</v>
      </c>
      <c r="W62">
        <v>0</v>
      </c>
      <c r="X62">
        <v>-2042073130</v>
      </c>
      <c r="Y62">
        <v>430</v>
      </c>
      <c r="AA62">
        <v>14.82</v>
      </c>
      <c r="AB62">
        <v>0</v>
      </c>
      <c r="AC62">
        <v>0</v>
      </c>
      <c r="AD62">
        <v>0</v>
      </c>
      <c r="AE62">
        <v>3.86</v>
      </c>
      <c r="AF62">
        <v>0</v>
      </c>
      <c r="AG62">
        <v>0</v>
      </c>
      <c r="AH62">
        <v>0</v>
      </c>
      <c r="AI62">
        <v>3.84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430</v>
      </c>
      <c r="AV62">
        <v>0</v>
      </c>
      <c r="AW62">
        <v>2</v>
      </c>
      <c r="AX62">
        <v>45926828</v>
      </c>
      <c r="AY62">
        <v>1</v>
      </c>
      <c r="AZ62">
        <v>0</v>
      </c>
      <c r="BA62">
        <v>61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Y62*Source!I33</f>
        <v>17.63</v>
      </c>
      <c r="CY62">
        <f>AA62</f>
        <v>14.82</v>
      </c>
      <c r="CZ62">
        <f>AE62</f>
        <v>3.86</v>
      </c>
      <c r="DA62">
        <f>AI62</f>
        <v>3.84</v>
      </c>
      <c r="DB62">
        <v>0</v>
      </c>
    </row>
    <row r="63" spans="1:106" ht="12.75">
      <c r="A63">
        <f>ROW(Source!A33)</f>
        <v>33</v>
      </c>
      <c r="B63">
        <v>45926640</v>
      </c>
      <c r="C63">
        <v>45926806</v>
      </c>
      <c r="D63">
        <v>37724568</v>
      </c>
      <c r="E63">
        <v>1</v>
      </c>
      <c r="F63">
        <v>1</v>
      </c>
      <c r="G63">
        <v>1</v>
      </c>
      <c r="H63">
        <v>3</v>
      </c>
      <c r="I63" t="s">
        <v>477</v>
      </c>
      <c r="J63" t="s">
        <v>478</v>
      </c>
      <c r="K63" t="s">
        <v>479</v>
      </c>
      <c r="L63">
        <v>1327</v>
      </c>
      <c r="N63">
        <v>1005</v>
      </c>
      <c r="O63" t="s">
        <v>30</v>
      </c>
      <c r="P63" t="s">
        <v>30</v>
      </c>
      <c r="Q63">
        <v>1</v>
      </c>
      <c r="W63">
        <v>0</v>
      </c>
      <c r="X63">
        <v>-405607654</v>
      </c>
      <c r="Y63">
        <v>102</v>
      </c>
      <c r="AA63">
        <v>321.83</v>
      </c>
      <c r="AB63">
        <v>0</v>
      </c>
      <c r="AC63">
        <v>0</v>
      </c>
      <c r="AD63">
        <v>0</v>
      </c>
      <c r="AE63">
        <v>69.21</v>
      </c>
      <c r="AF63">
        <v>0</v>
      </c>
      <c r="AG63">
        <v>0</v>
      </c>
      <c r="AH63">
        <v>0</v>
      </c>
      <c r="AI63">
        <v>4.65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102</v>
      </c>
      <c r="AV63">
        <v>0</v>
      </c>
      <c r="AW63">
        <v>2</v>
      </c>
      <c r="AX63">
        <v>45926829</v>
      </c>
      <c r="AY63">
        <v>1</v>
      </c>
      <c r="AZ63">
        <v>0</v>
      </c>
      <c r="BA63">
        <v>62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Y63*Source!I33</f>
        <v>4.182</v>
      </c>
      <c r="CY63">
        <f>AA63</f>
        <v>321.83</v>
      </c>
      <c r="CZ63">
        <f>AE63</f>
        <v>69.21</v>
      </c>
      <c r="DA63">
        <f>AI63</f>
        <v>4.65</v>
      </c>
      <c r="DB63">
        <v>0</v>
      </c>
    </row>
    <row r="64" spans="1:106" ht="12.75">
      <c r="A64">
        <f>ROW(Source!A33)</f>
        <v>33</v>
      </c>
      <c r="B64">
        <v>45926640</v>
      </c>
      <c r="C64">
        <v>45926806</v>
      </c>
      <c r="D64">
        <v>37725428</v>
      </c>
      <c r="E64">
        <v>1</v>
      </c>
      <c r="F64">
        <v>1</v>
      </c>
      <c r="G64">
        <v>1</v>
      </c>
      <c r="H64">
        <v>3</v>
      </c>
      <c r="I64" t="s">
        <v>385</v>
      </c>
      <c r="J64" t="s">
        <v>386</v>
      </c>
      <c r="K64" t="s">
        <v>387</v>
      </c>
      <c r="L64">
        <v>1339</v>
      </c>
      <c r="N64">
        <v>1007</v>
      </c>
      <c r="O64" t="s">
        <v>388</v>
      </c>
      <c r="P64" t="s">
        <v>388</v>
      </c>
      <c r="Q64">
        <v>1</v>
      </c>
      <c r="W64">
        <v>0</v>
      </c>
      <c r="X64">
        <v>1536317706</v>
      </c>
      <c r="Y64">
        <v>3.5</v>
      </c>
      <c r="AA64">
        <v>22.2</v>
      </c>
      <c r="AB64">
        <v>0</v>
      </c>
      <c r="AC64">
        <v>0</v>
      </c>
      <c r="AD64">
        <v>0</v>
      </c>
      <c r="AE64">
        <v>2.44</v>
      </c>
      <c r="AF64">
        <v>0</v>
      </c>
      <c r="AG64">
        <v>0</v>
      </c>
      <c r="AH64">
        <v>0</v>
      </c>
      <c r="AI64">
        <v>9.1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3.5</v>
      </c>
      <c r="AV64">
        <v>0</v>
      </c>
      <c r="AW64">
        <v>2</v>
      </c>
      <c r="AX64">
        <v>45926830</v>
      </c>
      <c r="AY64">
        <v>1</v>
      </c>
      <c r="AZ64">
        <v>0</v>
      </c>
      <c r="BA64">
        <v>63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Y64*Source!I33</f>
        <v>0.14350000000000002</v>
      </c>
      <c r="CY64">
        <f>AA64</f>
        <v>22.2</v>
      </c>
      <c r="CZ64">
        <f>AE64</f>
        <v>2.44</v>
      </c>
      <c r="DA64">
        <f>AI64</f>
        <v>9.1</v>
      </c>
      <c r="DB64">
        <v>0</v>
      </c>
    </row>
    <row r="65" spans="1:106" ht="12.75">
      <c r="A65">
        <f>ROW(Source!A34)</f>
        <v>34</v>
      </c>
      <c r="B65">
        <v>45926640</v>
      </c>
      <c r="C65">
        <v>45926831</v>
      </c>
      <c r="D65">
        <v>13665997</v>
      </c>
      <c r="E65">
        <v>1</v>
      </c>
      <c r="F65">
        <v>1</v>
      </c>
      <c r="G65">
        <v>1</v>
      </c>
      <c r="H65">
        <v>1</v>
      </c>
      <c r="I65" t="s">
        <v>480</v>
      </c>
      <c r="K65" t="s">
        <v>481</v>
      </c>
      <c r="L65">
        <v>1369</v>
      </c>
      <c r="N65">
        <v>1013</v>
      </c>
      <c r="O65" t="s">
        <v>335</v>
      </c>
      <c r="P65" t="s">
        <v>335</v>
      </c>
      <c r="Q65">
        <v>1</v>
      </c>
      <c r="W65">
        <v>0</v>
      </c>
      <c r="X65">
        <v>1709986911</v>
      </c>
      <c r="Y65">
        <v>29.451499999999996</v>
      </c>
      <c r="AA65">
        <v>0</v>
      </c>
      <c r="AB65">
        <v>0</v>
      </c>
      <c r="AC65">
        <v>0</v>
      </c>
      <c r="AD65">
        <v>9.4</v>
      </c>
      <c r="AE65">
        <v>0</v>
      </c>
      <c r="AF65">
        <v>0</v>
      </c>
      <c r="AG65">
        <v>0</v>
      </c>
      <c r="AH65">
        <v>9.4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25.61</v>
      </c>
      <c r="AU65" t="s">
        <v>20</v>
      </c>
      <c r="AV65">
        <v>1</v>
      </c>
      <c r="AW65">
        <v>2</v>
      </c>
      <c r="AX65">
        <v>45926837</v>
      </c>
      <c r="AY65">
        <v>1</v>
      </c>
      <c r="AZ65">
        <v>0</v>
      </c>
      <c r="BA65">
        <v>64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Y65*Source!I34</f>
        <v>1.6787354999999997</v>
      </c>
      <c r="CY65">
        <f>AD65</f>
        <v>9.4</v>
      </c>
      <c r="CZ65">
        <f>AH65</f>
        <v>9.4</v>
      </c>
      <c r="DA65">
        <f>AL65</f>
        <v>1</v>
      </c>
      <c r="DB65">
        <v>0</v>
      </c>
    </row>
    <row r="66" spans="1:106" ht="12.75">
      <c r="A66">
        <f>ROW(Source!A34)</f>
        <v>34</v>
      </c>
      <c r="B66">
        <v>45926640</v>
      </c>
      <c r="C66">
        <v>45926831</v>
      </c>
      <c r="D66">
        <v>30684579</v>
      </c>
      <c r="E66">
        <v>1</v>
      </c>
      <c r="F66">
        <v>1</v>
      </c>
      <c r="G66">
        <v>1</v>
      </c>
      <c r="H66">
        <v>2</v>
      </c>
      <c r="I66" t="s">
        <v>482</v>
      </c>
      <c r="J66" t="s">
        <v>483</v>
      </c>
      <c r="K66" t="s">
        <v>484</v>
      </c>
      <c r="L66">
        <v>1368</v>
      </c>
      <c r="N66">
        <v>1011</v>
      </c>
      <c r="O66" t="s">
        <v>341</v>
      </c>
      <c r="P66" t="s">
        <v>341</v>
      </c>
      <c r="Q66">
        <v>1</v>
      </c>
      <c r="W66">
        <v>0</v>
      </c>
      <c r="X66">
        <v>1042522176</v>
      </c>
      <c r="Y66">
        <v>1.0374999999999999</v>
      </c>
      <c r="AA66">
        <v>0</v>
      </c>
      <c r="AB66">
        <v>9.47</v>
      </c>
      <c r="AC66">
        <v>0</v>
      </c>
      <c r="AD66">
        <v>0</v>
      </c>
      <c r="AE66">
        <v>0</v>
      </c>
      <c r="AF66">
        <v>0.95</v>
      </c>
      <c r="AG66">
        <v>0</v>
      </c>
      <c r="AH66">
        <v>0</v>
      </c>
      <c r="AI66">
        <v>1</v>
      </c>
      <c r="AJ66">
        <v>9.97</v>
      </c>
      <c r="AK66">
        <v>31.7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0.83</v>
      </c>
      <c r="AU66" t="s">
        <v>19</v>
      </c>
      <c r="AV66">
        <v>0</v>
      </c>
      <c r="AW66">
        <v>2</v>
      </c>
      <c r="AX66">
        <v>45926838</v>
      </c>
      <c r="AY66">
        <v>1</v>
      </c>
      <c r="AZ66">
        <v>0</v>
      </c>
      <c r="BA66">
        <v>65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Y66*Source!I34</f>
        <v>0.059137499999999996</v>
      </c>
      <c r="CY66">
        <f>AB66</f>
        <v>9.47</v>
      </c>
      <c r="CZ66">
        <f>AF66</f>
        <v>0.95</v>
      </c>
      <c r="DA66">
        <f>AJ66</f>
        <v>9.97</v>
      </c>
      <c r="DB66">
        <v>0</v>
      </c>
    </row>
    <row r="67" spans="1:106" ht="12.75">
      <c r="A67">
        <f>ROW(Source!A34)</f>
        <v>34</v>
      </c>
      <c r="B67">
        <v>45926640</v>
      </c>
      <c r="C67">
        <v>45926831</v>
      </c>
      <c r="D67">
        <v>30684901</v>
      </c>
      <c r="E67">
        <v>1</v>
      </c>
      <c r="F67">
        <v>1</v>
      </c>
      <c r="G67">
        <v>1</v>
      </c>
      <c r="H67">
        <v>2</v>
      </c>
      <c r="I67" t="s">
        <v>400</v>
      </c>
      <c r="J67" t="s">
        <v>485</v>
      </c>
      <c r="K67" t="s">
        <v>402</v>
      </c>
      <c r="L67">
        <v>1368</v>
      </c>
      <c r="N67">
        <v>1011</v>
      </c>
      <c r="O67" t="s">
        <v>341</v>
      </c>
      <c r="P67" t="s">
        <v>341</v>
      </c>
      <c r="Q67">
        <v>1</v>
      </c>
      <c r="W67">
        <v>0</v>
      </c>
      <c r="X67">
        <v>1230759911</v>
      </c>
      <c r="Y67">
        <v>0.125</v>
      </c>
      <c r="AA67">
        <v>0</v>
      </c>
      <c r="AB67">
        <v>908.31</v>
      </c>
      <c r="AC67">
        <v>367.72</v>
      </c>
      <c r="AD67">
        <v>0</v>
      </c>
      <c r="AE67">
        <v>0</v>
      </c>
      <c r="AF67">
        <v>87.17</v>
      </c>
      <c r="AG67">
        <v>11.6</v>
      </c>
      <c r="AH67">
        <v>0</v>
      </c>
      <c r="AI67">
        <v>1</v>
      </c>
      <c r="AJ67">
        <v>10.42</v>
      </c>
      <c r="AK67">
        <v>31.7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0.1</v>
      </c>
      <c r="AU67" t="s">
        <v>19</v>
      </c>
      <c r="AV67">
        <v>0</v>
      </c>
      <c r="AW67">
        <v>2</v>
      </c>
      <c r="AX67">
        <v>45926839</v>
      </c>
      <c r="AY67">
        <v>1</v>
      </c>
      <c r="AZ67">
        <v>0</v>
      </c>
      <c r="BA67">
        <v>66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Y67*Source!I34</f>
        <v>0.007125</v>
      </c>
      <c r="CY67">
        <f>AB67</f>
        <v>908.31</v>
      </c>
      <c r="CZ67">
        <f>AF67</f>
        <v>87.17</v>
      </c>
      <c r="DA67">
        <f>AJ67</f>
        <v>10.42</v>
      </c>
      <c r="DB67">
        <v>0</v>
      </c>
    </row>
    <row r="68" spans="1:106" ht="12.75">
      <c r="A68">
        <f>ROW(Source!A34)</f>
        <v>34</v>
      </c>
      <c r="B68">
        <v>45926640</v>
      </c>
      <c r="C68">
        <v>45926831</v>
      </c>
      <c r="D68">
        <v>30618175</v>
      </c>
      <c r="E68">
        <v>1</v>
      </c>
      <c r="F68">
        <v>1</v>
      </c>
      <c r="G68">
        <v>1</v>
      </c>
      <c r="H68">
        <v>3</v>
      </c>
      <c r="I68" t="s">
        <v>486</v>
      </c>
      <c r="J68" t="s">
        <v>487</v>
      </c>
      <c r="K68" t="s">
        <v>488</v>
      </c>
      <c r="L68">
        <v>1330</v>
      </c>
      <c r="N68">
        <v>1005</v>
      </c>
      <c r="O68" t="s">
        <v>489</v>
      </c>
      <c r="P68" t="s">
        <v>489</v>
      </c>
      <c r="Q68">
        <v>10</v>
      </c>
      <c r="W68">
        <v>0</v>
      </c>
      <c r="X68">
        <v>173466314</v>
      </c>
      <c r="Y68">
        <v>10.5</v>
      </c>
      <c r="AA68">
        <v>141.81</v>
      </c>
      <c r="AB68">
        <v>0</v>
      </c>
      <c r="AC68">
        <v>0</v>
      </c>
      <c r="AD68">
        <v>0</v>
      </c>
      <c r="AE68">
        <v>35.9</v>
      </c>
      <c r="AF68">
        <v>0</v>
      </c>
      <c r="AG68">
        <v>0</v>
      </c>
      <c r="AH68">
        <v>0</v>
      </c>
      <c r="AI68">
        <v>3.95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10.5</v>
      </c>
      <c r="AV68">
        <v>0</v>
      </c>
      <c r="AW68">
        <v>2</v>
      </c>
      <c r="AX68">
        <v>45926840</v>
      </c>
      <c r="AY68">
        <v>1</v>
      </c>
      <c r="AZ68">
        <v>0</v>
      </c>
      <c r="BA68">
        <v>67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Y68*Source!I34</f>
        <v>0.5985</v>
      </c>
      <c r="CY68">
        <f>AA68</f>
        <v>141.81</v>
      </c>
      <c r="CZ68">
        <f>AE68</f>
        <v>35.9</v>
      </c>
      <c r="DA68">
        <f>AI68</f>
        <v>3.95</v>
      </c>
      <c r="DB68">
        <v>0</v>
      </c>
    </row>
    <row r="69" spans="1:106" ht="12.75">
      <c r="A69">
        <f>ROW(Source!A34)</f>
        <v>34</v>
      </c>
      <c r="B69">
        <v>45926640</v>
      </c>
      <c r="C69">
        <v>45926831</v>
      </c>
      <c r="D69">
        <v>30621059</v>
      </c>
      <c r="E69">
        <v>1</v>
      </c>
      <c r="F69">
        <v>1</v>
      </c>
      <c r="G69">
        <v>1</v>
      </c>
      <c r="H69">
        <v>3</v>
      </c>
      <c r="I69" t="s">
        <v>490</v>
      </c>
      <c r="J69" t="s">
        <v>491</v>
      </c>
      <c r="K69" t="s">
        <v>492</v>
      </c>
      <c r="L69">
        <v>1327</v>
      </c>
      <c r="N69">
        <v>1005</v>
      </c>
      <c r="O69" t="s">
        <v>30</v>
      </c>
      <c r="P69" t="s">
        <v>30</v>
      </c>
      <c r="Q69">
        <v>1</v>
      </c>
      <c r="W69">
        <v>0</v>
      </c>
      <c r="X69">
        <v>-1307627199</v>
      </c>
      <c r="Y69">
        <v>102.5</v>
      </c>
      <c r="AA69">
        <v>310.64</v>
      </c>
      <c r="AB69">
        <v>0</v>
      </c>
      <c r="AC69">
        <v>0</v>
      </c>
      <c r="AD69">
        <v>0</v>
      </c>
      <c r="AE69">
        <v>98.93</v>
      </c>
      <c r="AF69">
        <v>0</v>
      </c>
      <c r="AG69">
        <v>0</v>
      </c>
      <c r="AH69">
        <v>0</v>
      </c>
      <c r="AI69">
        <v>3.14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102.5</v>
      </c>
      <c r="AV69">
        <v>0</v>
      </c>
      <c r="AW69">
        <v>2</v>
      </c>
      <c r="AX69">
        <v>45926841</v>
      </c>
      <c r="AY69">
        <v>1</v>
      </c>
      <c r="AZ69">
        <v>0</v>
      </c>
      <c r="BA69">
        <v>68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Y69*Source!I34</f>
        <v>5.8425</v>
      </c>
      <c r="CY69">
        <f>AA69</f>
        <v>310.64</v>
      </c>
      <c r="CZ69">
        <f>AE69</f>
        <v>98.93</v>
      </c>
      <c r="DA69">
        <f>AI69</f>
        <v>3.14</v>
      </c>
      <c r="DB69">
        <v>0</v>
      </c>
    </row>
    <row r="70" spans="1:106" ht="12.75">
      <c r="A70">
        <f>ROW(Source!A35)</f>
        <v>35</v>
      </c>
      <c r="B70">
        <v>45926640</v>
      </c>
      <c r="C70">
        <v>45926842</v>
      </c>
      <c r="D70">
        <v>13669023</v>
      </c>
      <c r="E70">
        <v>1</v>
      </c>
      <c r="F70">
        <v>1</v>
      </c>
      <c r="G70">
        <v>1</v>
      </c>
      <c r="H70">
        <v>1</v>
      </c>
      <c r="I70" t="s">
        <v>493</v>
      </c>
      <c r="K70" t="s">
        <v>494</v>
      </c>
      <c r="L70">
        <v>1369</v>
      </c>
      <c r="N70">
        <v>1013</v>
      </c>
      <c r="O70" t="s">
        <v>335</v>
      </c>
      <c r="P70" t="s">
        <v>335</v>
      </c>
      <c r="Q70">
        <v>1</v>
      </c>
      <c r="W70">
        <v>0</v>
      </c>
      <c r="X70">
        <v>-546915240</v>
      </c>
      <c r="Y70">
        <v>19.136</v>
      </c>
      <c r="AA70">
        <v>0</v>
      </c>
      <c r="AB70">
        <v>0</v>
      </c>
      <c r="AC70">
        <v>0</v>
      </c>
      <c r="AD70">
        <v>8.74</v>
      </c>
      <c r="AE70">
        <v>0</v>
      </c>
      <c r="AF70">
        <v>0</v>
      </c>
      <c r="AG70">
        <v>0</v>
      </c>
      <c r="AH70">
        <v>8.74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16.64</v>
      </c>
      <c r="AU70" t="s">
        <v>20</v>
      </c>
      <c r="AV70">
        <v>1</v>
      </c>
      <c r="AW70">
        <v>2</v>
      </c>
      <c r="AX70">
        <v>45926849</v>
      </c>
      <c r="AY70">
        <v>1</v>
      </c>
      <c r="AZ70">
        <v>0</v>
      </c>
      <c r="BA70">
        <v>69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Y70*Source!I35</f>
        <v>2.1049599999999997</v>
      </c>
      <c r="CY70">
        <f>AD70</f>
        <v>8.74</v>
      </c>
      <c r="CZ70">
        <f>AH70</f>
        <v>8.74</v>
      </c>
      <c r="DA70">
        <f>AL70</f>
        <v>1</v>
      </c>
      <c r="DB70">
        <v>0</v>
      </c>
    </row>
    <row r="71" spans="1:106" ht="12.75">
      <c r="A71">
        <f>ROW(Source!A35)</f>
        <v>35</v>
      </c>
      <c r="B71">
        <v>45926640</v>
      </c>
      <c r="C71">
        <v>45926842</v>
      </c>
      <c r="D71">
        <v>30683460</v>
      </c>
      <c r="E71">
        <v>1</v>
      </c>
      <c r="F71">
        <v>1</v>
      </c>
      <c r="G71">
        <v>1</v>
      </c>
      <c r="H71">
        <v>2</v>
      </c>
      <c r="I71" t="s">
        <v>342</v>
      </c>
      <c r="J71" t="s">
        <v>495</v>
      </c>
      <c r="K71" t="s">
        <v>344</v>
      </c>
      <c r="L71">
        <v>1368</v>
      </c>
      <c r="N71">
        <v>1011</v>
      </c>
      <c r="O71" t="s">
        <v>341</v>
      </c>
      <c r="P71" t="s">
        <v>341</v>
      </c>
      <c r="Q71">
        <v>1</v>
      </c>
      <c r="W71">
        <v>0</v>
      </c>
      <c r="X71">
        <v>-1937814132</v>
      </c>
      <c r="Y71">
        <v>5.75</v>
      </c>
      <c r="AA71">
        <v>0</v>
      </c>
      <c r="AB71">
        <v>12.75</v>
      </c>
      <c r="AC71">
        <v>0</v>
      </c>
      <c r="AD71">
        <v>0</v>
      </c>
      <c r="AE71">
        <v>0</v>
      </c>
      <c r="AF71">
        <v>3</v>
      </c>
      <c r="AG71">
        <v>0</v>
      </c>
      <c r="AH71">
        <v>0</v>
      </c>
      <c r="AI71">
        <v>1</v>
      </c>
      <c r="AJ71">
        <v>4.25</v>
      </c>
      <c r="AK71">
        <v>31.7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4.6</v>
      </c>
      <c r="AU71" t="s">
        <v>19</v>
      </c>
      <c r="AV71">
        <v>0</v>
      </c>
      <c r="AW71">
        <v>2</v>
      </c>
      <c r="AX71">
        <v>45926850</v>
      </c>
      <c r="AY71">
        <v>1</v>
      </c>
      <c r="AZ71">
        <v>0</v>
      </c>
      <c r="BA71">
        <v>70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Y71*Source!I35</f>
        <v>0.6325</v>
      </c>
      <c r="CY71">
        <f>AB71</f>
        <v>12.75</v>
      </c>
      <c r="CZ71">
        <f>AF71</f>
        <v>3</v>
      </c>
      <c r="DA71">
        <f>AJ71</f>
        <v>4.25</v>
      </c>
      <c r="DB71">
        <v>0</v>
      </c>
    </row>
    <row r="72" spans="1:106" ht="12.75">
      <c r="A72">
        <f>ROW(Source!A35)</f>
        <v>35</v>
      </c>
      <c r="B72">
        <v>45926640</v>
      </c>
      <c r="C72">
        <v>45926842</v>
      </c>
      <c r="D72">
        <v>30684488</v>
      </c>
      <c r="E72">
        <v>1</v>
      </c>
      <c r="F72">
        <v>1</v>
      </c>
      <c r="G72">
        <v>1</v>
      </c>
      <c r="H72">
        <v>2</v>
      </c>
      <c r="I72" t="s">
        <v>496</v>
      </c>
      <c r="J72" t="s">
        <v>497</v>
      </c>
      <c r="K72" t="s">
        <v>498</v>
      </c>
      <c r="L72">
        <v>1368</v>
      </c>
      <c r="N72">
        <v>1011</v>
      </c>
      <c r="O72" t="s">
        <v>341</v>
      </c>
      <c r="P72" t="s">
        <v>341</v>
      </c>
      <c r="Q72">
        <v>1</v>
      </c>
      <c r="W72">
        <v>0</v>
      </c>
      <c r="X72">
        <v>-1867053656</v>
      </c>
      <c r="Y72">
        <v>5.75</v>
      </c>
      <c r="AA72">
        <v>0</v>
      </c>
      <c r="AB72">
        <v>7.33</v>
      </c>
      <c r="AC72">
        <v>0</v>
      </c>
      <c r="AD72">
        <v>0</v>
      </c>
      <c r="AE72">
        <v>0</v>
      </c>
      <c r="AF72">
        <v>1.95</v>
      </c>
      <c r="AG72">
        <v>0</v>
      </c>
      <c r="AH72">
        <v>0</v>
      </c>
      <c r="AI72">
        <v>1</v>
      </c>
      <c r="AJ72">
        <v>3.76</v>
      </c>
      <c r="AK72">
        <v>31.7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4.6</v>
      </c>
      <c r="AU72" t="s">
        <v>19</v>
      </c>
      <c r="AV72">
        <v>0</v>
      </c>
      <c r="AW72">
        <v>2</v>
      </c>
      <c r="AX72">
        <v>45926851</v>
      </c>
      <c r="AY72">
        <v>1</v>
      </c>
      <c r="AZ72">
        <v>0</v>
      </c>
      <c r="BA72">
        <v>71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Y72*Source!I35</f>
        <v>0.6325</v>
      </c>
      <c r="CY72">
        <f>AB72</f>
        <v>7.33</v>
      </c>
      <c r="CZ72">
        <f>AF72</f>
        <v>1.95</v>
      </c>
      <c r="DA72">
        <f>AJ72</f>
        <v>3.76</v>
      </c>
      <c r="DB72">
        <v>0</v>
      </c>
    </row>
    <row r="73" spans="1:106" ht="12.75">
      <c r="A73">
        <f>ROW(Source!A35)</f>
        <v>35</v>
      </c>
      <c r="B73">
        <v>45926640</v>
      </c>
      <c r="C73">
        <v>45926842</v>
      </c>
      <c r="D73">
        <v>30684579</v>
      </c>
      <c r="E73">
        <v>1</v>
      </c>
      <c r="F73">
        <v>1</v>
      </c>
      <c r="G73">
        <v>1</v>
      </c>
      <c r="H73">
        <v>2</v>
      </c>
      <c r="I73" t="s">
        <v>482</v>
      </c>
      <c r="J73" t="s">
        <v>483</v>
      </c>
      <c r="K73" t="s">
        <v>484</v>
      </c>
      <c r="L73">
        <v>1368</v>
      </c>
      <c r="N73">
        <v>1011</v>
      </c>
      <c r="O73" t="s">
        <v>341</v>
      </c>
      <c r="P73" t="s">
        <v>341</v>
      </c>
      <c r="Q73">
        <v>1</v>
      </c>
      <c r="W73">
        <v>0</v>
      </c>
      <c r="X73">
        <v>1042522176</v>
      </c>
      <c r="Y73">
        <v>0.44999999999999996</v>
      </c>
      <c r="AA73">
        <v>0</v>
      </c>
      <c r="AB73">
        <v>9.47</v>
      </c>
      <c r="AC73">
        <v>0</v>
      </c>
      <c r="AD73">
        <v>0</v>
      </c>
      <c r="AE73">
        <v>0</v>
      </c>
      <c r="AF73">
        <v>0.95</v>
      </c>
      <c r="AG73">
        <v>0</v>
      </c>
      <c r="AH73">
        <v>0</v>
      </c>
      <c r="AI73">
        <v>1</v>
      </c>
      <c r="AJ73">
        <v>9.97</v>
      </c>
      <c r="AK73">
        <v>31.7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0.36</v>
      </c>
      <c r="AU73" t="s">
        <v>19</v>
      </c>
      <c r="AV73">
        <v>0</v>
      </c>
      <c r="AW73">
        <v>2</v>
      </c>
      <c r="AX73">
        <v>45926852</v>
      </c>
      <c r="AY73">
        <v>1</v>
      </c>
      <c r="AZ73">
        <v>0</v>
      </c>
      <c r="BA73">
        <v>72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Y73*Source!I35</f>
        <v>0.049499999999999995</v>
      </c>
      <c r="CY73">
        <f>AB73</f>
        <v>9.47</v>
      </c>
      <c r="CZ73">
        <f>AF73</f>
        <v>0.95</v>
      </c>
      <c r="DA73">
        <f>AJ73</f>
        <v>9.97</v>
      </c>
      <c r="DB73">
        <v>0</v>
      </c>
    </row>
    <row r="74" spans="1:106" ht="12.75">
      <c r="A74">
        <f>ROW(Source!A35)</f>
        <v>35</v>
      </c>
      <c r="B74">
        <v>45926640</v>
      </c>
      <c r="C74">
        <v>45926842</v>
      </c>
      <c r="D74">
        <v>30624292</v>
      </c>
      <c r="E74">
        <v>1</v>
      </c>
      <c r="F74">
        <v>1</v>
      </c>
      <c r="G74">
        <v>1</v>
      </c>
      <c r="H74">
        <v>3</v>
      </c>
      <c r="I74" t="s">
        <v>499</v>
      </c>
      <c r="J74" t="s">
        <v>500</v>
      </c>
      <c r="K74" t="s">
        <v>501</v>
      </c>
      <c r="L74">
        <v>1355</v>
      </c>
      <c r="N74">
        <v>1010</v>
      </c>
      <c r="O74" t="s">
        <v>206</v>
      </c>
      <c r="P74" t="s">
        <v>206</v>
      </c>
      <c r="Q74">
        <v>100</v>
      </c>
      <c r="W74">
        <v>0</v>
      </c>
      <c r="X74">
        <v>-1315386177</v>
      </c>
      <c r="Y74">
        <v>6.7</v>
      </c>
      <c r="AA74">
        <v>21</v>
      </c>
      <c r="AB74">
        <v>0</v>
      </c>
      <c r="AC74">
        <v>0</v>
      </c>
      <c r="AD74">
        <v>0</v>
      </c>
      <c r="AE74">
        <v>12</v>
      </c>
      <c r="AF74">
        <v>0</v>
      </c>
      <c r="AG74">
        <v>0</v>
      </c>
      <c r="AH74">
        <v>0</v>
      </c>
      <c r="AI74">
        <v>1.75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6.7</v>
      </c>
      <c r="AV74">
        <v>0</v>
      </c>
      <c r="AW74">
        <v>2</v>
      </c>
      <c r="AX74">
        <v>45926853</v>
      </c>
      <c r="AY74">
        <v>1</v>
      </c>
      <c r="AZ74">
        <v>0</v>
      </c>
      <c r="BA74">
        <v>73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Y74*Source!I35</f>
        <v>0.737</v>
      </c>
      <c r="CY74">
        <f>AA74</f>
        <v>21</v>
      </c>
      <c r="CZ74">
        <f>AE74</f>
        <v>12</v>
      </c>
      <c r="DA74">
        <f>AI74</f>
        <v>1.75</v>
      </c>
      <c r="DB74">
        <v>0</v>
      </c>
    </row>
    <row r="75" spans="1:106" ht="12.75">
      <c r="A75">
        <f>ROW(Source!A35)</f>
        <v>35</v>
      </c>
      <c r="B75">
        <v>45926640</v>
      </c>
      <c r="C75">
        <v>45926842</v>
      </c>
      <c r="D75">
        <v>30643069</v>
      </c>
      <c r="E75">
        <v>1</v>
      </c>
      <c r="F75">
        <v>1</v>
      </c>
      <c r="G75">
        <v>1</v>
      </c>
      <c r="H75">
        <v>3</v>
      </c>
      <c r="I75" t="s">
        <v>83</v>
      </c>
      <c r="J75" t="s">
        <v>86</v>
      </c>
      <c r="K75" t="s">
        <v>84</v>
      </c>
      <c r="L75">
        <v>1301</v>
      </c>
      <c r="N75">
        <v>1003</v>
      </c>
      <c r="O75" t="s">
        <v>85</v>
      </c>
      <c r="P75" t="s">
        <v>85</v>
      </c>
      <c r="Q75">
        <v>1</v>
      </c>
      <c r="W75">
        <v>0</v>
      </c>
      <c r="X75">
        <v>1000868929</v>
      </c>
      <c r="Y75">
        <v>105</v>
      </c>
      <c r="AA75">
        <v>55.7</v>
      </c>
      <c r="AB75">
        <v>0</v>
      </c>
      <c r="AC75">
        <v>0</v>
      </c>
      <c r="AD75">
        <v>0</v>
      </c>
      <c r="AE75">
        <v>52.55</v>
      </c>
      <c r="AF75">
        <v>0</v>
      </c>
      <c r="AG75">
        <v>0</v>
      </c>
      <c r="AH75">
        <v>0</v>
      </c>
      <c r="AI75">
        <v>1.06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T75">
        <v>105</v>
      </c>
      <c r="AV75">
        <v>0</v>
      </c>
      <c r="AW75">
        <v>1</v>
      </c>
      <c r="AX75">
        <v>-1</v>
      </c>
      <c r="AY75">
        <v>0</v>
      </c>
      <c r="AZ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Y75*Source!I35</f>
        <v>11.55</v>
      </c>
      <c r="CY75">
        <f>AA75</f>
        <v>55.7</v>
      </c>
      <c r="CZ75">
        <f>AE75</f>
        <v>52.55</v>
      </c>
      <c r="DA75">
        <f>AI75</f>
        <v>1.06</v>
      </c>
      <c r="DB75">
        <v>0</v>
      </c>
    </row>
    <row r="76" spans="1:106" ht="12.75">
      <c r="A76">
        <f>ROW(Source!A37)</f>
        <v>37</v>
      </c>
      <c r="B76">
        <v>45926640</v>
      </c>
      <c r="C76">
        <v>45926856</v>
      </c>
      <c r="D76">
        <v>13665997</v>
      </c>
      <c r="E76">
        <v>1</v>
      </c>
      <c r="F76">
        <v>1</v>
      </c>
      <c r="G76">
        <v>1</v>
      </c>
      <c r="H76">
        <v>1</v>
      </c>
      <c r="I76" t="s">
        <v>480</v>
      </c>
      <c r="K76" t="s">
        <v>481</v>
      </c>
      <c r="L76">
        <v>1369</v>
      </c>
      <c r="N76">
        <v>1013</v>
      </c>
      <c r="O76" t="s">
        <v>335</v>
      </c>
      <c r="P76" t="s">
        <v>335</v>
      </c>
      <c r="Q76">
        <v>1</v>
      </c>
      <c r="W76">
        <v>0</v>
      </c>
      <c r="X76">
        <v>1709986911</v>
      </c>
      <c r="Y76">
        <v>124.61399999999999</v>
      </c>
      <c r="AA76">
        <v>0</v>
      </c>
      <c r="AB76">
        <v>0</v>
      </c>
      <c r="AC76">
        <v>0</v>
      </c>
      <c r="AD76">
        <v>9.4</v>
      </c>
      <c r="AE76">
        <v>0</v>
      </c>
      <c r="AF76">
        <v>0</v>
      </c>
      <c r="AG76">
        <v>0</v>
      </c>
      <c r="AH76">
        <v>9.4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108.36</v>
      </c>
      <c r="AU76" t="s">
        <v>20</v>
      </c>
      <c r="AV76">
        <v>1</v>
      </c>
      <c r="AW76">
        <v>2</v>
      </c>
      <c r="AX76">
        <v>45926867</v>
      </c>
      <c r="AY76">
        <v>1</v>
      </c>
      <c r="AZ76">
        <v>0</v>
      </c>
      <c r="BA76">
        <v>75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Y76*Source!I37</f>
        <v>5.109173999999999</v>
      </c>
      <c r="CY76">
        <f>AD76</f>
        <v>9.4</v>
      </c>
      <c r="CZ76">
        <f>AH76</f>
        <v>9.4</v>
      </c>
      <c r="DA76">
        <f>AL76</f>
        <v>1</v>
      </c>
      <c r="DB76">
        <v>0</v>
      </c>
    </row>
    <row r="77" spans="1:106" ht="12.75">
      <c r="A77">
        <f>ROW(Source!A37)</f>
        <v>37</v>
      </c>
      <c r="B77">
        <v>45926640</v>
      </c>
      <c r="C77">
        <v>45926856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32</v>
      </c>
      <c r="K77" t="s">
        <v>336</v>
      </c>
      <c r="L77">
        <v>608254</v>
      </c>
      <c r="N77">
        <v>1013</v>
      </c>
      <c r="O77" t="s">
        <v>337</v>
      </c>
      <c r="P77" t="s">
        <v>337</v>
      </c>
      <c r="Q77">
        <v>1</v>
      </c>
      <c r="W77">
        <v>0</v>
      </c>
      <c r="X77">
        <v>-185737400</v>
      </c>
      <c r="Y77">
        <v>0.3125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0.25</v>
      </c>
      <c r="AU77" t="s">
        <v>19</v>
      </c>
      <c r="AV77">
        <v>2</v>
      </c>
      <c r="AW77">
        <v>2</v>
      </c>
      <c r="AX77">
        <v>45926868</v>
      </c>
      <c r="AY77">
        <v>1</v>
      </c>
      <c r="AZ77">
        <v>0</v>
      </c>
      <c r="BA77">
        <v>76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Y77*Source!I37</f>
        <v>0.012812500000000001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ht="12.75">
      <c r="A78">
        <f>ROW(Source!A37)</f>
        <v>37</v>
      </c>
      <c r="B78">
        <v>45926640</v>
      </c>
      <c r="C78">
        <v>45926856</v>
      </c>
      <c r="D78">
        <v>30682366</v>
      </c>
      <c r="E78">
        <v>1</v>
      </c>
      <c r="F78">
        <v>1</v>
      </c>
      <c r="G78">
        <v>1</v>
      </c>
      <c r="H78">
        <v>2</v>
      </c>
      <c r="I78" t="s">
        <v>394</v>
      </c>
      <c r="J78" t="s">
        <v>502</v>
      </c>
      <c r="K78" t="s">
        <v>396</v>
      </c>
      <c r="L78">
        <v>1368</v>
      </c>
      <c r="N78">
        <v>1011</v>
      </c>
      <c r="O78" t="s">
        <v>341</v>
      </c>
      <c r="P78" t="s">
        <v>341</v>
      </c>
      <c r="Q78">
        <v>1</v>
      </c>
      <c r="W78">
        <v>0</v>
      </c>
      <c r="X78">
        <v>1106923569</v>
      </c>
      <c r="Y78">
        <v>0.3125</v>
      </c>
      <c r="AA78">
        <v>0</v>
      </c>
      <c r="AB78">
        <v>1076.32</v>
      </c>
      <c r="AC78">
        <v>427.95</v>
      </c>
      <c r="AD78">
        <v>0</v>
      </c>
      <c r="AE78">
        <v>0</v>
      </c>
      <c r="AF78">
        <v>112</v>
      </c>
      <c r="AG78">
        <v>13.5</v>
      </c>
      <c r="AH78">
        <v>0</v>
      </c>
      <c r="AI78">
        <v>1</v>
      </c>
      <c r="AJ78">
        <v>9.61</v>
      </c>
      <c r="AK78">
        <v>31.7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0.25</v>
      </c>
      <c r="AU78" t="s">
        <v>19</v>
      </c>
      <c r="AV78">
        <v>0</v>
      </c>
      <c r="AW78">
        <v>2</v>
      </c>
      <c r="AX78">
        <v>45926869</v>
      </c>
      <c r="AY78">
        <v>1</v>
      </c>
      <c r="AZ78">
        <v>0</v>
      </c>
      <c r="BA78">
        <v>77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Y78*Source!I37</f>
        <v>0.012812500000000001</v>
      </c>
      <c r="CY78">
        <f>AB78</f>
        <v>1076.32</v>
      </c>
      <c r="CZ78">
        <f>AF78</f>
        <v>112</v>
      </c>
      <c r="DA78">
        <f>AJ78</f>
        <v>9.61</v>
      </c>
      <c r="DB78">
        <v>0</v>
      </c>
    </row>
    <row r="79" spans="1:106" ht="12.75">
      <c r="A79">
        <f>ROW(Source!A37)</f>
        <v>37</v>
      </c>
      <c r="B79">
        <v>45926640</v>
      </c>
      <c r="C79">
        <v>45926856</v>
      </c>
      <c r="D79">
        <v>30682503</v>
      </c>
      <c r="E79">
        <v>1</v>
      </c>
      <c r="F79">
        <v>1</v>
      </c>
      <c r="G79">
        <v>1</v>
      </c>
      <c r="H79">
        <v>2</v>
      </c>
      <c r="I79" t="s">
        <v>503</v>
      </c>
      <c r="J79" t="s">
        <v>504</v>
      </c>
      <c r="K79" t="s">
        <v>505</v>
      </c>
      <c r="L79">
        <v>1368</v>
      </c>
      <c r="N79">
        <v>1011</v>
      </c>
      <c r="O79" t="s">
        <v>341</v>
      </c>
      <c r="P79" t="s">
        <v>341</v>
      </c>
      <c r="Q79">
        <v>1</v>
      </c>
      <c r="W79">
        <v>0</v>
      </c>
      <c r="X79">
        <v>1843081982</v>
      </c>
      <c r="Y79">
        <v>20.25</v>
      </c>
      <c r="AA79">
        <v>0</v>
      </c>
      <c r="AB79">
        <v>72.45</v>
      </c>
      <c r="AC79">
        <v>0</v>
      </c>
      <c r="AD79">
        <v>0</v>
      </c>
      <c r="AE79">
        <v>0</v>
      </c>
      <c r="AF79">
        <v>6.9</v>
      </c>
      <c r="AG79">
        <v>0</v>
      </c>
      <c r="AH79">
        <v>0</v>
      </c>
      <c r="AI79">
        <v>1</v>
      </c>
      <c r="AJ79">
        <v>10.5</v>
      </c>
      <c r="AK79">
        <v>31.7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16.2</v>
      </c>
      <c r="AU79" t="s">
        <v>19</v>
      </c>
      <c r="AV79">
        <v>0</v>
      </c>
      <c r="AW79">
        <v>2</v>
      </c>
      <c r="AX79">
        <v>45926870</v>
      </c>
      <c r="AY79">
        <v>1</v>
      </c>
      <c r="AZ79">
        <v>0</v>
      </c>
      <c r="BA79">
        <v>78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Y79*Source!I37</f>
        <v>0.83025</v>
      </c>
      <c r="CY79">
        <f>AB79</f>
        <v>72.45</v>
      </c>
      <c r="CZ79">
        <f>AF79</f>
        <v>6.9</v>
      </c>
      <c r="DA79">
        <f>AJ79</f>
        <v>10.5</v>
      </c>
      <c r="DB79">
        <v>0</v>
      </c>
    </row>
    <row r="80" spans="1:106" ht="12.75">
      <c r="A80">
        <f>ROW(Source!A37)</f>
        <v>37</v>
      </c>
      <c r="B80">
        <v>45926640</v>
      </c>
      <c r="C80">
        <v>45926856</v>
      </c>
      <c r="D80">
        <v>30684488</v>
      </c>
      <c r="E80">
        <v>1</v>
      </c>
      <c r="F80">
        <v>1</v>
      </c>
      <c r="G80">
        <v>1</v>
      </c>
      <c r="H80">
        <v>2</v>
      </c>
      <c r="I80" t="s">
        <v>496</v>
      </c>
      <c r="J80" t="s">
        <v>497</v>
      </c>
      <c r="K80" t="s">
        <v>498</v>
      </c>
      <c r="L80">
        <v>1368</v>
      </c>
      <c r="N80">
        <v>1011</v>
      </c>
      <c r="O80" t="s">
        <v>341</v>
      </c>
      <c r="P80" t="s">
        <v>341</v>
      </c>
      <c r="Q80">
        <v>1</v>
      </c>
      <c r="W80">
        <v>0</v>
      </c>
      <c r="X80">
        <v>-1867053656</v>
      </c>
      <c r="Y80">
        <v>4.425</v>
      </c>
      <c r="AA80">
        <v>0</v>
      </c>
      <c r="AB80">
        <v>7.33</v>
      </c>
      <c r="AC80">
        <v>0</v>
      </c>
      <c r="AD80">
        <v>0</v>
      </c>
      <c r="AE80">
        <v>0</v>
      </c>
      <c r="AF80">
        <v>1.95</v>
      </c>
      <c r="AG80">
        <v>0</v>
      </c>
      <c r="AH80">
        <v>0</v>
      </c>
      <c r="AI80">
        <v>1</v>
      </c>
      <c r="AJ80">
        <v>3.76</v>
      </c>
      <c r="AK80">
        <v>31.7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3.54</v>
      </c>
      <c r="AU80" t="s">
        <v>19</v>
      </c>
      <c r="AV80">
        <v>0</v>
      </c>
      <c r="AW80">
        <v>2</v>
      </c>
      <c r="AX80">
        <v>45926871</v>
      </c>
      <c r="AY80">
        <v>1</v>
      </c>
      <c r="AZ80">
        <v>0</v>
      </c>
      <c r="BA80">
        <v>79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Y80*Source!I37</f>
        <v>0.181425</v>
      </c>
      <c r="CY80">
        <f>AB80</f>
        <v>7.33</v>
      </c>
      <c r="CZ80">
        <f>AF80</f>
        <v>1.95</v>
      </c>
      <c r="DA80">
        <f>AJ80</f>
        <v>3.76</v>
      </c>
      <c r="DB80">
        <v>0</v>
      </c>
    </row>
    <row r="81" spans="1:106" ht="12.75">
      <c r="A81">
        <f>ROW(Source!A37)</f>
        <v>37</v>
      </c>
      <c r="B81">
        <v>45926640</v>
      </c>
      <c r="C81">
        <v>45926856</v>
      </c>
      <c r="D81">
        <v>30684901</v>
      </c>
      <c r="E81">
        <v>1</v>
      </c>
      <c r="F81">
        <v>1</v>
      </c>
      <c r="G81">
        <v>1</v>
      </c>
      <c r="H81">
        <v>2</v>
      </c>
      <c r="I81" t="s">
        <v>400</v>
      </c>
      <c r="J81" t="s">
        <v>485</v>
      </c>
      <c r="K81" t="s">
        <v>402</v>
      </c>
      <c r="L81">
        <v>1368</v>
      </c>
      <c r="N81">
        <v>1011</v>
      </c>
      <c r="O81" t="s">
        <v>341</v>
      </c>
      <c r="P81" t="s">
        <v>341</v>
      </c>
      <c r="Q81">
        <v>1</v>
      </c>
      <c r="W81">
        <v>0</v>
      </c>
      <c r="X81">
        <v>1230759911</v>
      </c>
      <c r="Y81">
        <v>0.17500000000000002</v>
      </c>
      <c r="AA81">
        <v>0</v>
      </c>
      <c r="AB81">
        <v>908.31</v>
      </c>
      <c r="AC81">
        <v>367.72</v>
      </c>
      <c r="AD81">
        <v>0</v>
      </c>
      <c r="AE81">
        <v>0</v>
      </c>
      <c r="AF81">
        <v>87.17</v>
      </c>
      <c r="AG81">
        <v>11.6</v>
      </c>
      <c r="AH81">
        <v>0</v>
      </c>
      <c r="AI81">
        <v>1</v>
      </c>
      <c r="AJ81">
        <v>10.42</v>
      </c>
      <c r="AK81">
        <v>31.7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0.14</v>
      </c>
      <c r="AU81" t="s">
        <v>19</v>
      </c>
      <c r="AV81">
        <v>0</v>
      </c>
      <c r="AW81">
        <v>2</v>
      </c>
      <c r="AX81">
        <v>45926872</v>
      </c>
      <c r="AY81">
        <v>1</v>
      </c>
      <c r="AZ81">
        <v>0</v>
      </c>
      <c r="BA81">
        <v>80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Y81*Source!I37</f>
        <v>0.007175000000000001</v>
      </c>
      <c r="CY81">
        <f>AB81</f>
        <v>908.31</v>
      </c>
      <c r="CZ81">
        <f>AF81</f>
        <v>87.17</v>
      </c>
      <c r="DA81">
        <f>AJ81</f>
        <v>10.42</v>
      </c>
      <c r="DB81">
        <v>0</v>
      </c>
    </row>
    <row r="82" spans="1:106" ht="12.75">
      <c r="A82">
        <f>ROW(Source!A37)</f>
        <v>37</v>
      </c>
      <c r="B82">
        <v>45926640</v>
      </c>
      <c r="C82">
        <v>45926856</v>
      </c>
      <c r="D82">
        <v>30642992</v>
      </c>
      <c r="E82">
        <v>1</v>
      </c>
      <c r="F82">
        <v>1</v>
      </c>
      <c r="G82">
        <v>1</v>
      </c>
      <c r="H82">
        <v>3</v>
      </c>
      <c r="I82" t="s">
        <v>506</v>
      </c>
      <c r="J82" t="s">
        <v>507</v>
      </c>
      <c r="K82" t="s">
        <v>508</v>
      </c>
      <c r="L82">
        <v>1301</v>
      </c>
      <c r="N82">
        <v>1003</v>
      </c>
      <c r="O82" t="s">
        <v>85</v>
      </c>
      <c r="P82" t="s">
        <v>85</v>
      </c>
      <c r="Q82">
        <v>1</v>
      </c>
      <c r="W82">
        <v>0</v>
      </c>
      <c r="X82">
        <v>1106749004</v>
      </c>
      <c r="Y82">
        <v>1050</v>
      </c>
      <c r="AA82">
        <v>56.73</v>
      </c>
      <c r="AB82">
        <v>0</v>
      </c>
      <c r="AC82">
        <v>0</v>
      </c>
      <c r="AD82">
        <v>0</v>
      </c>
      <c r="AE82">
        <v>25.1</v>
      </c>
      <c r="AF82">
        <v>0</v>
      </c>
      <c r="AG82">
        <v>0</v>
      </c>
      <c r="AH82">
        <v>0</v>
      </c>
      <c r="AI82">
        <v>2.26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1050</v>
      </c>
      <c r="AV82">
        <v>0</v>
      </c>
      <c r="AW82">
        <v>2</v>
      </c>
      <c r="AX82">
        <v>45926873</v>
      </c>
      <c r="AY82">
        <v>1</v>
      </c>
      <c r="AZ82">
        <v>0</v>
      </c>
      <c r="BA82">
        <v>81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Y82*Source!I37</f>
        <v>43.050000000000004</v>
      </c>
      <c r="CY82">
        <f>AA82</f>
        <v>56.73</v>
      </c>
      <c r="CZ82">
        <f>AE82</f>
        <v>25.1</v>
      </c>
      <c r="DA82">
        <f>AI82</f>
        <v>2.26</v>
      </c>
      <c r="DB82">
        <v>0</v>
      </c>
    </row>
    <row r="83" spans="1:106" ht="12.75">
      <c r="A83">
        <f>ROW(Source!A37)</f>
        <v>37</v>
      </c>
      <c r="B83">
        <v>45926640</v>
      </c>
      <c r="C83">
        <v>45926856</v>
      </c>
      <c r="D83">
        <v>30642994</v>
      </c>
      <c r="E83">
        <v>1</v>
      </c>
      <c r="F83">
        <v>1</v>
      </c>
      <c r="G83">
        <v>1</v>
      </c>
      <c r="H83">
        <v>3</v>
      </c>
      <c r="I83" t="s">
        <v>509</v>
      </c>
      <c r="J83" t="s">
        <v>510</v>
      </c>
      <c r="K83" t="s">
        <v>511</v>
      </c>
      <c r="L83">
        <v>1301</v>
      </c>
      <c r="N83">
        <v>1003</v>
      </c>
      <c r="O83" t="s">
        <v>85</v>
      </c>
      <c r="P83" t="s">
        <v>85</v>
      </c>
      <c r="Q83">
        <v>1</v>
      </c>
      <c r="W83">
        <v>0</v>
      </c>
      <c r="X83">
        <v>1790392266</v>
      </c>
      <c r="Y83">
        <v>100</v>
      </c>
      <c r="AA83">
        <v>34.1</v>
      </c>
      <c r="AB83">
        <v>0</v>
      </c>
      <c r="AC83">
        <v>0</v>
      </c>
      <c r="AD83">
        <v>0</v>
      </c>
      <c r="AE83">
        <v>20.79</v>
      </c>
      <c r="AF83">
        <v>0</v>
      </c>
      <c r="AG83">
        <v>0</v>
      </c>
      <c r="AH83">
        <v>0</v>
      </c>
      <c r="AI83">
        <v>1.64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100</v>
      </c>
      <c r="AV83">
        <v>0</v>
      </c>
      <c r="AW83">
        <v>2</v>
      </c>
      <c r="AX83">
        <v>45926874</v>
      </c>
      <c r="AY83">
        <v>1</v>
      </c>
      <c r="AZ83">
        <v>0</v>
      </c>
      <c r="BA83">
        <v>82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Y83*Source!I37</f>
        <v>4.1000000000000005</v>
      </c>
      <c r="CY83">
        <f>AA83</f>
        <v>34.1</v>
      </c>
      <c r="CZ83">
        <f>AE83</f>
        <v>20.79</v>
      </c>
      <c r="DA83">
        <f>AI83</f>
        <v>1.64</v>
      </c>
      <c r="DB83">
        <v>0</v>
      </c>
    </row>
    <row r="84" spans="1:106" ht="12.75">
      <c r="A84">
        <f>ROW(Source!A37)</f>
        <v>37</v>
      </c>
      <c r="B84">
        <v>45926640</v>
      </c>
      <c r="C84">
        <v>45926856</v>
      </c>
      <c r="D84">
        <v>30642995</v>
      </c>
      <c r="E84">
        <v>1</v>
      </c>
      <c r="F84">
        <v>1</v>
      </c>
      <c r="G84">
        <v>1</v>
      </c>
      <c r="H84">
        <v>3</v>
      </c>
      <c r="I84" t="s">
        <v>92</v>
      </c>
      <c r="J84" t="s">
        <v>94</v>
      </c>
      <c r="K84" t="s">
        <v>93</v>
      </c>
      <c r="L84">
        <v>1301</v>
      </c>
      <c r="N84">
        <v>1003</v>
      </c>
      <c r="O84" t="s">
        <v>85</v>
      </c>
      <c r="P84" t="s">
        <v>85</v>
      </c>
      <c r="Q84">
        <v>1</v>
      </c>
      <c r="W84">
        <v>0</v>
      </c>
      <c r="X84">
        <v>-877513643</v>
      </c>
      <c r="Y84">
        <v>200</v>
      </c>
      <c r="AA84">
        <v>31.55</v>
      </c>
      <c r="AB84">
        <v>0</v>
      </c>
      <c r="AC84">
        <v>0</v>
      </c>
      <c r="AD84">
        <v>0</v>
      </c>
      <c r="AE84">
        <v>6.36</v>
      </c>
      <c r="AF84">
        <v>0</v>
      </c>
      <c r="AG84">
        <v>0</v>
      </c>
      <c r="AH84">
        <v>0</v>
      </c>
      <c r="AI84">
        <v>4.96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T84">
        <v>200</v>
      </c>
      <c r="AV84">
        <v>0</v>
      </c>
      <c r="AW84">
        <v>2</v>
      </c>
      <c r="AX84">
        <v>45926875</v>
      </c>
      <c r="AY84">
        <v>1</v>
      </c>
      <c r="AZ84">
        <v>6144</v>
      </c>
      <c r="BA84">
        <v>83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Y84*Source!I37</f>
        <v>8.200000000000001</v>
      </c>
      <c r="CY84">
        <f>AA84</f>
        <v>31.55</v>
      </c>
      <c r="CZ84">
        <f>AE84</f>
        <v>6.36</v>
      </c>
      <c r="DA84">
        <f>AI84</f>
        <v>4.96</v>
      </c>
      <c r="DB84">
        <v>0</v>
      </c>
    </row>
    <row r="85" spans="1:106" ht="12.75">
      <c r="A85">
        <f>ROW(Source!A37)</f>
        <v>37</v>
      </c>
      <c r="B85">
        <v>45926640</v>
      </c>
      <c r="C85">
        <v>45926856</v>
      </c>
      <c r="D85">
        <v>30642996</v>
      </c>
      <c r="E85">
        <v>1</v>
      </c>
      <c r="F85">
        <v>1</v>
      </c>
      <c r="G85">
        <v>1</v>
      </c>
      <c r="H85">
        <v>3</v>
      </c>
      <c r="I85" t="s">
        <v>512</v>
      </c>
      <c r="J85" t="s">
        <v>513</v>
      </c>
      <c r="K85" t="s">
        <v>514</v>
      </c>
      <c r="L85">
        <v>1355</v>
      </c>
      <c r="N85">
        <v>1010</v>
      </c>
      <c r="O85" t="s">
        <v>206</v>
      </c>
      <c r="P85" t="s">
        <v>206</v>
      </c>
      <c r="Q85">
        <v>100</v>
      </c>
      <c r="W85">
        <v>0</v>
      </c>
      <c r="X85">
        <v>-273307440</v>
      </c>
      <c r="Y85">
        <v>0.7</v>
      </c>
      <c r="AA85">
        <v>934.92</v>
      </c>
      <c r="AB85">
        <v>0</v>
      </c>
      <c r="AC85">
        <v>0</v>
      </c>
      <c r="AD85">
        <v>0</v>
      </c>
      <c r="AE85">
        <v>371</v>
      </c>
      <c r="AF85">
        <v>0</v>
      </c>
      <c r="AG85">
        <v>0</v>
      </c>
      <c r="AH85">
        <v>0</v>
      </c>
      <c r="AI85">
        <v>2.52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0.7</v>
      </c>
      <c r="AV85">
        <v>0</v>
      </c>
      <c r="AW85">
        <v>2</v>
      </c>
      <c r="AX85">
        <v>45926876</v>
      </c>
      <c r="AY85">
        <v>1</v>
      </c>
      <c r="AZ85">
        <v>0</v>
      </c>
      <c r="BA85">
        <v>84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Y85*Source!I37</f>
        <v>0.0287</v>
      </c>
      <c r="CY85">
        <f>AA85</f>
        <v>934.92</v>
      </c>
      <c r="CZ85">
        <f>AE85</f>
        <v>371</v>
      </c>
      <c r="DA85">
        <f>AI85</f>
        <v>2.52</v>
      </c>
      <c r="DB85">
        <v>0</v>
      </c>
    </row>
    <row r="86" spans="1:106" ht="12.75">
      <c r="A86">
        <f>ROW(Source!A39)</f>
        <v>39</v>
      </c>
      <c r="B86">
        <v>45926640</v>
      </c>
      <c r="C86">
        <v>45926878</v>
      </c>
      <c r="D86">
        <v>13668622</v>
      </c>
      <c r="E86">
        <v>1</v>
      </c>
      <c r="F86">
        <v>1</v>
      </c>
      <c r="G86">
        <v>1</v>
      </c>
      <c r="H86">
        <v>1</v>
      </c>
      <c r="I86" t="s">
        <v>515</v>
      </c>
      <c r="K86" t="s">
        <v>516</v>
      </c>
      <c r="L86">
        <v>1369</v>
      </c>
      <c r="N86">
        <v>1013</v>
      </c>
      <c r="O86" t="s">
        <v>335</v>
      </c>
      <c r="P86" t="s">
        <v>335</v>
      </c>
      <c r="Q86">
        <v>1</v>
      </c>
      <c r="W86">
        <v>0</v>
      </c>
      <c r="X86">
        <v>1151098980</v>
      </c>
      <c r="Y86">
        <v>1.3455</v>
      </c>
      <c r="AA86">
        <v>0</v>
      </c>
      <c r="AB86">
        <v>0</v>
      </c>
      <c r="AC86">
        <v>0</v>
      </c>
      <c r="AD86">
        <v>8.97</v>
      </c>
      <c r="AE86">
        <v>0</v>
      </c>
      <c r="AF86">
        <v>0</v>
      </c>
      <c r="AG86">
        <v>0</v>
      </c>
      <c r="AH86">
        <v>8.97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1.17</v>
      </c>
      <c r="AU86" t="s">
        <v>20</v>
      </c>
      <c r="AV86">
        <v>1</v>
      </c>
      <c r="AW86">
        <v>2</v>
      </c>
      <c r="AX86">
        <v>45926887</v>
      </c>
      <c r="AY86">
        <v>1</v>
      </c>
      <c r="AZ86">
        <v>0</v>
      </c>
      <c r="BA86">
        <v>85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Y86*Source!I39</f>
        <v>2.691</v>
      </c>
      <c r="CY86">
        <f>AD86</f>
        <v>8.97</v>
      </c>
      <c r="CZ86">
        <f>AH86</f>
        <v>8.97</v>
      </c>
      <c r="DA86">
        <f>AL86</f>
        <v>1</v>
      </c>
      <c r="DB86">
        <v>0</v>
      </c>
    </row>
    <row r="87" spans="1:106" ht="12.75">
      <c r="A87">
        <f>ROW(Source!A39)</f>
        <v>39</v>
      </c>
      <c r="B87">
        <v>45926640</v>
      </c>
      <c r="C87">
        <v>45926878</v>
      </c>
      <c r="D87">
        <v>30682644</v>
      </c>
      <c r="E87">
        <v>1</v>
      </c>
      <c r="F87">
        <v>1</v>
      </c>
      <c r="G87">
        <v>1</v>
      </c>
      <c r="H87">
        <v>2</v>
      </c>
      <c r="I87" t="s">
        <v>517</v>
      </c>
      <c r="J87" t="s">
        <v>518</v>
      </c>
      <c r="K87" t="s">
        <v>519</v>
      </c>
      <c r="L87">
        <v>1368</v>
      </c>
      <c r="N87">
        <v>1011</v>
      </c>
      <c r="O87" t="s">
        <v>341</v>
      </c>
      <c r="P87" t="s">
        <v>341</v>
      </c>
      <c r="Q87">
        <v>1</v>
      </c>
      <c r="W87">
        <v>0</v>
      </c>
      <c r="X87">
        <v>1474986261</v>
      </c>
      <c r="Y87">
        <v>0.15</v>
      </c>
      <c r="AA87">
        <v>0</v>
      </c>
      <c r="AB87">
        <v>60.26</v>
      </c>
      <c r="AC87">
        <v>0</v>
      </c>
      <c r="AD87">
        <v>0</v>
      </c>
      <c r="AE87">
        <v>0</v>
      </c>
      <c r="AF87">
        <v>8.1</v>
      </c>
      <c r="AG87">
        <v>0</v>
      </c>
      <c r="AH87">
        <v>0</v>
      </c>
      <c r="AI87">
        <v>1</v>
      </c>
      <c r="AJ87">
        <v>7.44</v>
      </c>
      <c r="AK87">
        <v>31.7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0.12</v>
      </c>
      <c r="AU87" t="s">
        <v>19</v>
      </c>
      <c r="AV87">
        <v>0</v>
      </c>
      <c r="AW87">
        <v>2</v>
      </c>
      <c r="AX87">
        <v>45926888</v>
      </c>
      <c r="AY87">
        <v>1</v>
      </c>
      <c r="AZ87">
        <v>0</v>
      </c>
      <c r="BA87">
        <v>86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Y87*Source!I39</f>
        <v>0.3</v>
      </c>
      <c r="CY87">
        <f>AB87</f>
        <v>60.26</v>
      </c>
      <c r="CZ87">
        <f>AF87</f>
        <v>8.1</v>
      </c>
      <c r="DA87">
        <f>AJ87</f>
        <v>7.44</v>
      </c>
      <c r="DB87">
        <v>0</v>
      </c>
    </row>
    <row r="88" spans="1:106" ht="12.75">
      <c r="A88">
        <f>ROW(Source!A39)</f>
        <v>39</v>
      </c>
      <c r="B88">
        <v>45926640</v>
      </c>
      <c r="C88">
        <v>45926878</v>
      </c>
      <c r="D88">
        <v>30684488</v>
      </c>
      <c r="E88">
        <v>1</v>
      </c>
      <c r="F88">
        <v>1</v>
      </c>
      <c r="G88">
        <v>1</v>
      </c>
      <c r="H88">
        <v>2</v>
      </c>
      <c r="I88" t="s">
        <v>496</v>
      </c>
      <c r="J88" t="s">
        <v>497</v>
      </c>
      <c r="K88" t="s">
        <v>498</v>
      </c>
      <c r="L88">
        <v>1368</v>
      </c>
      <c r="N88">
        <v>1011</v>
      </c>
      <c r="O88" t="s">
        <v>341</v>
      </c>
      <c r="P88" t="s">
        <v>341</v>
      </c>
      <c r="Q88">
        <v>1</v>
      </c>
      <c r="W88">
        <v>0</v>
      </c>
      <c r="X88">
        <v>-1867053656</v>
      </c>
      <c r="Y88">
        <v>0.3375</v>
      </c>
      <c r="AA88">
        <v>0</v>
      </c>
      <c r="AB88">
        <v>7.33</v>
      </c>
      <c r="AC88">
        <v>0</v>
      </c>
      <c r="AD88">
        <v>0</v>
      </c>
      <c r="AE88">
        <v>0</v>
      </c>
      <c r="AF88">
        <v>1.95</v>
      </c>
      <c r="AG88">
        <v>0</v>
      </c>
      <c r="AH88">
        <v>0</v>
      </c>
      <c r="AI88">
        <v>1</v>
      </c>
      <c r="AJ88">
        <v>3.76</v>
      </c>
      <c r="AK88">
        <v>31.7</v>
      </c>
      <c r="AL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0.27</v>
      </c>
      <c r="AU88" t="s">
        <v>19</v>
      </c>
      <c r="AV88">
        <v>0</v>
      </c>
      <c r="AW88">
        <v>2</v>
      </c>
      <c r="AX88">
        <v>45926889</v>
      </c>
      <c r="AY88">
        <v>1</v>
      </c>
      <c r="AZ88">
        <v>0</v>
      </c>
      <c r="BA88">
        <v>87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Y88*Source!I39</f>
        <v>0.675</v>
      </c>
      <c r="CY88">
        <f>AB88</f>
        <v>7.33</v>
      </c>
      <c r="CZ88">
        <f>AF88</f>
        <v>1.95</v>
      </c>
      <c r="DA88">
        <f>AJ88</f>
        <v>3.76</v>
      </c>
      <c r="DB88">
        <v>0</v>
      </c>
    </row>
    <row r="89" spans="1:106" ht="12.75">
      <c r="A89">
        <f>ROW(Source!A39)</f>
        <v>39</v>
      </c>
      <c r="B89">
        <v>45926640</v>
      </c>
      <c r="C89">
        <v>45926878</v>
      </c>
      <c r="D89">
        <v>30684901</v>
      </c>
      <c r="E89">
        <v>1</v>
      </c>
      <c r="F89">
        <v>1</v>
      </c>
      <c r="G89">
        <v>1</v>
      </c>
      <c r="H89">
        <v>2</v>
      </c>
      <c r="I89" t="s">
        <v>400</v>
      </c>
      <c r="J89" t="s">
        <v>485</v>
      </c>
      <c r="K89" t="s">
        <v>402</v>
      </c>
      <c r="L89">
        <v>1368</v>
      </c>
      <c r="N89">
        <v>1011</v>
      </c>
      <c r="O89" t="s">
        <v>341</v>
      </c>
      <c r="P89" t="s">
        <v>341</v>
      </c>
      <c r="Q89">
        <v>1</v>
      </c>
      <c r="W89">
        <v>0</v>
      </c>
      <c r="X89">
        <v>1230759911</v>
      </c>
      <c r="Y89">
        <v>0.0125</v>
      </c>
      <c r="AA89">
        <v>0</v>
      </c>
      <c r="AB89">
        <v>908.31</v>
      </c>
      <c r="AC89">
        <v>367.72</v>
      </c>
      <c r="AD89">
        <v>0</v>
      </c>
      <c r="AE89">
        <v>0</v>
      </c>
      <c r="AF89">
        <v>87.17</v>
      </c>
      <c r="AG89">
        <v>11.6</v>
      </c>
      <c r="AH89">
        <v>0</v>
      </c>
      <c r="AI89">
        <v>1</v>
      </c>
      <c r="AJ89">
        <v>10.42</v>
      </c>
      <c r="AK89">
        <v>31.7</v>
      </c>
      <c r="AL89">
        <v>1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0.01</v>
      </c>
      <c r="AU89" t="s">
        <v>19</v>
      </c>
      <c r="AV89">
        <v>0</v>
      </c>
      <c r="AW89">
        <v>2</v>
      </c>
      <c r="AX89">
        <v>45926890</v>
      </c>
      <c r="AY89">
        <v>1</v>
      </c>
      <c r="AZ89">
        <v>0</v>
      </c>
      <c r="BA89">
        <v>88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Y89*Source!I39</f>
        <v>0.025</v>
      </c>
      <c r="CY89">
        <f>AB89</f>
        <v>908.31</v>
      </c>
      <c r="CZ89">
        <f>AF89</f>
        <v>87.17</v>
      </c>
      <c r="DA89">
        <f>AJ89</f>
        <v>10.42</v>
      </c>
      <c r="DB89">
        <v>0</v>
      </c>
    </row>
    <row r="90" spans="1:106" ht="12.75">
      <c r="A90">
        <f>ROW(Source!A39)</f>
        <v>39</v>
      </c>
      <c r="B90">
        <v>45926640</v>
      </c>
      <c r="C90">
        <v>45926878</v>
      </c>
      <c r="D90">
        <v>30623973</v>
      </c>
      <c r="E90">
        <v>1</v>
      </c>
      <c r="F90">
        <v>1</v>
      </c>
      <c r="G90">
        <v>1</v>
      </c>
      <c r="H90">
        <v>3</v>
      </c>
      <c r="I90" t="s">
        <v>520</v>
      </c>
      <c r="J90" t="s">
        <v>521</v>
      </c>
      <c r="K90" t="s">
        <v>522</v>
      </c>
      <c r="L90">
        <v>1348</v>
      </c>
      <c r="N90">
        <v>1009</v>
      </c>
      <c r="O90" t="s">
        <v>406</v>
      </c>
      <c r="P90" t="s">
        <v>406</v>
      </c>
      <c r="Q90">
        <v>1000</v>
      </c>
      <c r="W90">
        <v>0</v>
      </c>
      <c r="X90">
        <v>-2063358494</v>
      </c>
      <c r="Y90">
        <v>6E-05</v>
      </c>
      <c r="AA90">
        <v>93568.86</v>
      </c>
      <c r="AB90">
        <v>0</v>
      </c>
      <c r="AC90">
        <v>0</v>
      </c>
      <c r="AD90">
        <v>0</v>
      </c>
      <c r="AE90">
        <v>10362</v>
      </c>
      <c r="AF90">
        <v>0</v>
      </c>
      <c r="AG90">
        <v>0</v>
      </c>
      <c r="AH90">
        <v>0</v>
      </c>
      <c r="AI90">
        <v>9.03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6E-05</v>
      </c>
      <c r="AV90">
        <v>0</v>
      </c>
      <c r="AW90">
        <v>2</v>
      </c>
      <c r="AX90">
        <v>45926891</v>
      </c>
      <c r="AY90">
        <v>1</v>
      </c>
      <c r="AZ90">
        <v>0</v>
      </c>
      <c r="BA90">
        <v>89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Y90*Source!I39</f>
        <v>0.00012</v>
      </c>
      <c r="CY90">
        <f>AA90</f>
        <v>93568.86</v>
      </c>
      <c r="CZ90">
        <f>AE90</f>
        <v>10362</v>
      </c>
      <c r="DA90">
        <f>AI90</f>
        <v>9.03</v>
      </c>
      <c r="DB90">
        <v>0</v>
      </c>
    </row>
    <row r="91" spans="1:106" ht="12.75">
      <c r="A91">
        <f>ROW(Source!A39)</f>
        <v>39</v>
      </c>
      <c r="B91">
        <v>45926640</v>
      </c>
      <c r="C91">
        <v>45926878</v>
      </c>
      <c r="D91">
        <v>30624234</v>
      </c>
      <c r="E91">
        <v>1</v>
      </c>
      <c r="F91">
        <v>1</v>
      </c>
      <c r="G91">
        <v>1</v>
      </c>
      <c r="H91">
        <v>3</v>
      </c>
      <c r="I91" t="s">
        <v>523</v>
      </c>
      <c r="J91" t="s">
        <v>524</v>
      </c>
      <c r="K91" t="s">
        <v>525</v>
      </c>
      <c r="L91">
        <v>1348</v>
      </c>
      <c r="N91">
        <v>1009</v>
      </c>
      <c r="O91" t="s">
        <v>406</v>
      </c>
      <c r="P91" t="s">
        <v>406</v>
      </c>
      <c r="Q91">
        <v>1000</v>
      </c>
      <c r="W91">
        <v>0</v>
      </c>
      <c r="X91">
        <v>969423507</v>
      </c>
      <c r="Y91">
        <v>3E-05</v>
      </c>
      <c r="AA91">
        <v>79642.49</v>
      </c>
      <c r="AB91">
        <v>0</v>
      </c>
      <c r="AC91">
        <v>0</v>
      </c>
      <c r="AD91">
        <v>0</v>
      </c>
      <c r="AE91">
        <v>9040.01</v>
      </c>
      <c r="AF91">
        <v>0</v>
      </c>
      <c r="AG91">
        <v>0</v>
      </c>
      <c r="AH91">
        <v>0</v>
      </c>
      <c r="AI91">
        <v>8.81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3E-05</v>
      </c>
      <c r="AV91">
        <v>0</v>
      </c>
      <c r="AW91">
        <v>2</v>
      </c>
      <c r="AX91">
        <v>45926892</v>
      </c>
      <c r="AY91">
        <v>1</v>
      </c>
      <c r="AZ91">
        <v>0</v>
      </c>
      <c r="BA91">
        <v>90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Y91*Source!I39</f>
        <v>6E-05</v>
      </c>
      <c r="CY91">
        <f>AA91</f>
        <v>79642.49</v>
      </c>
      <c r="CZ91">
        <f>AE91</f>
        <v>9040.01</v>
      </c>
      <c r="DA91">
        <f>AI91</f>
        <v>8.81</v>
      </c>
      <c r="DB91">
        <v>0</v>
      </c>
    </row>
    <row r="92" spans="1:106" ht="12.75">
      <c r="A92">
        <f>ROW(Source!A39)</f>
        <v>39</v>
      </c>
      <c r="B92">
        <v>45926640</v>
      </c>
      <c r="C92">
        <v>45926878</v>
      </c>
      <c r="D92">
        <v>30641315</v>
      </c>
      <c r="E92">
        <v>1</v>
      </c>
      <c r="F92">
        <v>1</v>
      </c>
      <c r="G92">
        <v>1</v>
      </c>
      <c r="H92">
        <v>3</v>
      </c>
      <c r="I92" t="s">
        <v>526</v>
      </c>
      <c r="J92" t="s">
        <v>527</v>
      </c>
      <c r="K92" t="s">
        <v>528</v>
      </c>
      <c r="L92">
        <v>1348</v>
      </c>
      <c r="N92">
        <v>1009</v>
      </c>
      <c r="O92" t="s">
        <v>406</v>
      </c>
      <c r="P92" t="s">
        <v>406</v>
      </c>
      <c r="Q92">
        <v>1000</v>
      </c>
      <c r="W92">
        <v>0</v>
      </c>
      <c r="X92">
        <v>1970784338</v>
      </c>
      <c r="Y92">
        <v>0.00043</v>
      </c>
      <c r="AA92">
        <v>31634.27</v>
      </c>
      <c r="AB92">
        <v>0</v>
      </c>
      <c r="AC92">
        <v>0</v>
      </c>
      <c r="AD92">
        <v>0</v>
      </c>
      <c r="AE92">
        <v>6014.12</v>
      </c>
      <c r="AF92">
        <v>0</v>
      </c>
      <c r="AG92">
        <v>0</v>
      </c>
      <c r="AH92">
        <v>0</v>
      </c>
      <c r="AI92">
        <v>5.26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0.00043</v>
      </c>
      <c r="AV92">
        <v>0</v>
      </c>
      <c r="AW92">
        <v>2</v>
      </c>
      <c r="AX92">
        <v>45926893</v>
      </c>
      <c r="AY92">
        <v>1</v>
      </c>
      <c r="AZ92">
        <v>0</v>
      </c>
      <c r="BA92">
        <v>91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Y92*Source!I39</f>
        <v>0.00086</v>
      </c>
      <c r="CY92">
        <f>AA92</f>
        <v>31634.27</v>
      </c>
      <c r="CZ92">
        <f>AE92</f>
        <v>6014.12</v>
      </c>
      <c r="DA92">
        <f>AI92</f>
        <v>5.26</v>
      </c>
      <c r="DB92">
        <v>0</v>
      </c>
    </row>
    <row r="93" spans="1:106" ht="12.75">
      <c r="A93">
        <f>ROW(Source!A39)</f>
        <v>39</v>
      </c>
      <c r="B93">
        <v>45926640</v>
      </c>
      <c r="C93">
        <v>45926878</v>
      </c>
      <c r="D93">
        <v>30646291</v>
      </c>
      <c r="E93">
        <v>1</v>
      </c>
      <c r="F93">
        <v>1</v>
      </c>
      <c r="G93">
        <v>1</v>
      </c>
      <c r="H93">
        <v>3</v>
      </c>
      <c r="I93" t="s">
        <v>529</v>
      </c>
      <c r="J93" t="s">
        <v>530</v>
      </c>
      <c r="K93" t="s">
        <v>531</v>
      </c>
      <c r="L93">
        <v>1327</v>
      </c>
      <c r="N93">
        <v>1005</v>
      </c>
      <c r="O93" t="s">
        <v>30</v>
      </c>
      <c r="P93" t="s">
        <v>30</v>
      </c>
      <c r="Q93">
        <v>1</v>
      </c>
      <c r="W93">
        <v>0</v>
      </c>
      <c r="X93">
        <v>-1892868140</v>
      </c>
      <c r="Y93">
        <v>0.06</v>
      </c>
      <c r="AA93">
        <v>2010.05</v>
      </c>
      <c r="AB93">
        <v>0</v>
      </c>
      <c r="AC93">
        <v>0</v>
      </c>
      <c r="AD93">
        <v>0</v>
      </c>
      <c r="AE93">
        <v>92.8</v>
      </c>
      <c r="AF93">
        <v>0</v>
      </c>
      <c r="AG93">
        <v>0</v>
      </c>
      <c r="AH93">
        <v>0</v>
      </c>
      <c r="AI93">
        <v>21.66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0.06</v>
      </c>
      <c r="AV93">
        <v>0</v>
      </c>
      <c r="AW93">
        <v>2</v>
      </c>
      <c r="AX93">
        <v>45926894</v>
      </c>
      <c r="AY93">
        <v>1</v>
      </c>
      <c r="AZ93">
        <v>0</v>
      </c>
      <c r="BA93">
        <v>92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Y93*Source!I39</f>
        <v>0.12</v>
      </c>
      <c r="CY93">
        <f>AA93</f>
        <v>2010.05</v>
      </c>
      <c r="CZ93">
        <f>AE93</f>
        <v>92.8</v>
      </c>
      <c r="DA93">
        <f>AI93</f>
        <v>21.66</v>
      </c>
      <c r="DB93">
        <v>0</v>
      </c>
    </row>
    <row r="94" spans="1:106" ht="12.75">
      <c r="A94">
        <f>ROW(Source!A40)</f>
        <v>40</v>
      </c>
      <c r="B94">
        <v>45926640</v>
      </c>
      <c r="C94">
        <v>45930239</v>
      </c>
      <c r="D94">
        <v>13669568</v>
      </c>
      <c r="E94">
        <v>1</v>
      </c>
      <c r="F94">
        <v>1</v>
      </c>
      <c r="G94">
        <v>1</v>
      </c>
      <c r="H94">
        <v>1</v>
      </c>
      <c r="I94" t="s">
        <v>532</v>
      </c>
      <c r="K94" t="s">
        <v>533</v>
      </c>
      <c r="L94">
        <v>1369</v>
      </c>
      <c r="N94">
        <v>1013</v>
      </c>
      <c r="O94" t="s">
        <v>335</v>
      </c>
      <c r="P94" t="s">
        <v>335</v>
      </c>
      <c r="Q94">
        <v>1</v>
      </c>
      <c r="W94">
        <v>0</v>
      </c>
      <c r="X94">
        <v>-1739886638</v>
      </c>
      <c r="Y94">
        <v>70.33399999999999</v>
      </c>
      <c r="AA94">
        <v>0</v>
      </c>
      <c r="AB94">
        <v>0</v>
      </c>
      <c r="AC94">
        <v>0</v>
      </c>
      <c r="AD94">
        <v>9.62</v>
      </c>
      <c r="AE94">
        <v>0</v>
      </c>
      <c r="AF94">
        <v>0</v>
      </c>
      <c r="AG94">
        <v>0</v>
      </c>
      <c r="AH94">
        <v>9.62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61.16</v>
      </c>
      <c r="AU94" t="s">
        <v>20</v>
      </c>
      <c r="AV94">
        <v>1</v>
      </c>
      <c r="AW94">
        <v>2</v>
      </c>
      <c r="AX94">
        <v>45930240</v>
      </c>
      <c r="AY94">
        <v>1</v>
      </c>
      <c r="AZ94">
        <v>0</v>
      </c>
      <c r="BA94">
        <v>93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Y94*Source!I40</f>
        <v>7.033399999999999</v>
      </c>
      <c r="CY94">
        <f>AD94</f>
        <v>9.62</v>
      </c>
      <c r="CZ94">
        <f>AH94</f>
        <v>9.62</v>
      </c>
      <c r="DA94">
        <f>AL94</f>
        <v>1</v>
      </c>
      <c r="DB94">
        <v>0</v>
      </c>
    </row>
    <row r="95" spans="1:106" ht="12.75">
      <c r="A95">
        <f>ROW(Source!A40)</f>
        <v>40</v>
      </c>
      <c r="B95">
        <v>45926640</v>
      </c>
      <c r="C95">
        <v>45930239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32</v>
      </c>
      <c r="K95" t="s">
        <v>336</v>
      </c>
      <c r="L95">
        <v>608254</v>
      </c>
      <c r="N95">
        <v>1013</v>
      </c>
      <c r="O95" t="s">
        <v>337</v>
      </c>
      <c r="P95" t="s">
        <v>337</v>
      </c>
      <c r="Q95">
        <v>1</v>
      </c>
      <c r="W95">
        <v>0</v>
      </c>
      <c r="X95">
        <v>-185737400</v>
      </c>
      <c r="Y95">
        <v>0.7625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0.61</v>
      </c>
      <c r="AU95" t="s">
        <v>19</v>
      </c>
      <c r="AV95">
        <v>2</v>
      </c>
      <c r="AW95">
        <v>2</v>
      </c>
      <c r="AX95">
        <v>45930241</v>
      </c>
      <c r="AY95">
        <v>1</v>
      </c>
      <c r="AZ95">
        <v>0</v>
      </c>
      <c r="BA95">
        <v>94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Y95*Source!I40</f>
        <v>0.07625</v>
      </c>
      <c r="CY95">
        <f>AD95</f>
        <v>0</v>
      </c>
      <c r="CZ95">
        <f>AH95</f>
        <v>0</v>
      </c>
      <c r="DA95">
        <f>AL95</f>
        <v>1</v>
      </c>
      <c r="DB95">
        <v>0</v>
      </c>
    </row>
    <row r="96" spans="1:106" ht="12.75">
      <c r="A96">
        <f>ROW(Source!A40)</f>
        <v>40</v>
      </c>
      <c r="B96">
        <v>45926640</v>
      </c>
      <c r="C96">
        <v>45930239</v>
      </c>
      <c r="D96">
        <v>30682366</v>
      </c>
      <c r="E96">
        <v>1</v>
      </c>
      <c r="F96">
        <v>1</v>
      </c>
      <c r="G96">
        <v>1</v>
      </c>
      <c r="H96">
        <v>2</v>
      </c>
      <c r="I96" t="s">
        <v>394</v>
      </c>
      <c r="J96" t="s">
        <v>502</v>
      </c>
      <c r="K96" t="s">
        <v>396</v>
      </c>
      <c r="L96">
        <v>1368</v>
      </c>
      <c r="N96">
        <v>1011</v>
      </c>
      <c r="O96" t="s">
        <v>341</v>
      </c>
      <c r="P96" t="s">
        <v>341</v>
      </c>
      <c r="Q96">
        <v>1</v>
      </c>
      <c r="W96">
        <v>0</v>
      </c>
      <c r="X96">
        <v>1106923569</v>
      </c>
      <c r="Y96">
        <v>0.42500000000000004</v>
      </c>
      <c r="AA96">
        <v>0</v>
      </c>
      <c r="AB96">
        <v>1076.32</v>
      </c>
      <c r="AC96">
        <v>427.95</v>
      </c>
      <c r="AD96">
        <v>0</v>
      </c>
      <c r="AE96">
        <v>0</v>
      </c>
      <c r="AF96">
        <v>112</v>
      </c>
      <c r="AG96">
        <v>13.5</v>
      </c>
      <c r="AH96">
        <v>0</v>
      </c>
      <c r="AI96">
        <v>1</v>
      </c>
      <c r="AJ96">
        <v>9.61</v>
      </c>
      <c r="AK96">
        <v>31.7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0.34</v>
      </c>
      <c r="AU96" t="s">
        <v>19</v>
      </c>
      <c r="AV96">
        <v>0</v>
      </c>
      <c r="AW96">
        <v>2</v>
      </c>
      <c r="AX96">
        <v>45930242</v>
      </c>
      <c r="AY96">
        <v>1</v>
      </c>
      <c r="AZ96">
        <v>0</v>
      </c>
      <c r="BA96">
        <v>95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Y96*Source!I40</f>
        <v>0.04250000000000001</v>
      </c>
      <c r="CY96">
        <f>AB96</f>
        <v>1076.32</v>
      </c>
      <c r="CZ96">
        <f>AF96</f>
        <v>112</v>
      </c>
      <c r="DA96">
        <f>AJ96</f>
        <v>9.61</v>
      </c>
      <c r="DB96">
        <v>0</v>
      </c>
    </row>
    <row r="97" spans="1:106" ht="12.75">
      <c r="A97">
        <f>ROW(Source!A40)</f>
        <v>40</v>
      </c>
      <c r="B97">
        <v>45926640</v>
      </c>
      <c r="C97">
        <v>45930239</v>
      </c>
      <c r="D97">
        <v>30682543</v>
      </c>
      <c r="E97">
        <v>1</v>
      </c>
      <c r="F97">
        <v>1</v>
      </c>
      <c r="G97">
        <v>1</v>
      </c>
      <c r="H97">
        <v>2</v>
      </c>
      <c r="I97" t="s">
        <v>440</v>
      </c>
      <c r="J97" t="s">
        <v>441</v>
      </c>
      <c r="K97" t="s">
        <v>442</v>
      </c>
      <c r="L97">
        <v>1368</v>
      </c>
      <c r="N97">
        <v>1011</v>
      </c>
      <c r="O97" t="s">
        <v>341</v>
      </c>
      <c r="P97" t="s">
        <v>341</v>
      </c>
      <c r="Q97">
        <v>1</v>
      </c>
      <c r="W97">
        <v>0</v>
      </c>
      <c r="X97">
        <v>344519037</v>
      </c>
      <c r="Y97">
        <v>0.3375</v>
      </c>
      <c r="AA97">
        <v>0</v>
      </c>
      <c r="AB97">
        <v>445.46</v>
      </c>
      <c r="AC97">
        <v>427.95</v>
      </c>
      <c r="AD97">
        <v>0</v>
      </c>
      <c r="AE97">
        <v>0</v>
      </c>
      <c r="AF97">
        <v>31.26</v>
      </c>
      <c r="AG97">
        <v>13.5</v>
      </c>
      <c r="AH97">
        <v>0</v>
      </c>
      <c r="AI97">
        <v>1</v>
      </c>
      <c r="AJ97">
        <v>14.25</v>
      </c>
      <c r="AK97">
        <v>31.7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0.27</v>
      </c>
      <c r="AU97" t="s">
        <v>19</v>
      </c>
      <c r="AV97">
        <v>0</v>
      </c>
      <c r="AW97">
        <v>2</v>
      </c>
      <c r="AX97">
        <v>45930243</v>
      </c>
      <c r="AY97">
        <v>1</v>
      </c>
      <c r="AZ97">
        <v>0</v>
      </c>
      <c r="BA97">
        <v>96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Y97*Source!I40</f>
        <v>0.03375</v>
      </c>
      <c r="CY97">
        <f>AB97</f>
        <v>445.46</v>
      </c>
      <c r="CZ97">
        <f>AF97</f>
        <v>31.26</v>
      </c>
      <c r="DA97">
        <f>AJ97</f>
        <v>14.25</v>
      </c>
      <c r="DB97">
        <v>0</v>
      </c>
    </row>
    <row r="98" spans="1:106" ht="12.75">
      <c r="A98">
        <f>ROW(Source!A40)</f>
        <v>40</v>
      </c>
      <c r="B98">
        <v>45926640</v>
      </c>
      <c r="C98">
        <v>45930239</v>
      </c>
      <c r="D98">
        <v>30684901</v>
      </c>
      <c r="E98">
        <v>1</v>
      </c>
      <c r="F98">
        <v>1</v>
      </c>
      <c r="G98">
        <v>1</v>
      </c>
      <c r="H98">
        <v>2</v>
      </c>
      <c r="I98" t="s">
        <v>400</v>
      </c>
      <c r="J98" t="s">
        <v>485</v>
      </c>
      <c r="K98" t="s">
        <v>402</v>
      </c>
      <c r="L98">
        <v>1368</v>
      </c>
      <c r="N98">
        <v>1011</v>
      </c>
      <c r="O98" t="s">
        <v>341</v>
      </c>
      <c r="P98" t="s">
        <v>341</v>
      </c>
      <c r="Q98">
        <v>1</v>
      </c>
      <c r="W98">
        <v>0</v>
      </c>
      <c r="X98">
        <v>1230759911</v>
      </c>
      <c r="Y98">
        <v>0.55</v>
      </c>
      <c r="AA98">
        <v>0</v>
      </c>
      <c r="AB98">
        <v>908.31</v>
      </c>
      <c r="AC98">
        <v>367.72</v>
      </c>
      <c r="AD98">
        <v>0</v>
      </c>
      <c r="AE98">
        <v>0</v>
      </c>
      <c r="AF98">
        <v>87.17</v>
      </c>
      <c r="AG98">
        <v>11.6</v>
      </c>
      <c r="AH98">
        <v>0</v>
      </c>
      <c r="AI98">
        <v>1</v>
      </c>
      <c r="AJ98">
        <v>10.42</v>
      </c>
      <c r="AK98">
        <v>31.7</v>
      </c>
      <c r="AL98">
        <v>1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0.44</v>
      </c>
      <c r="AU98" t="s">
        <v>19</v>
      </c>
      <c r="AV98">
        <v>0</v>
      </c>
      <c r="AW98">
        <v>2</v>
      </c>
      <c r="AX98">
        <v>45930244</v>
      </c>
      <c r="AY98">
        <v>1</v>
      </c>
      <c r="AZ98">
        <v>0</v>
      </c>
      <c r="BA98">
        <v>97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Y98*Source!I40</f>
        <v>0.05500000000000001</v>
      </c>
      <c r="CY98">
        <f>AB98</f>
        <v>908.31</v>
      </c>
      <c r="CZ98">
        <f>AF98</f>
        <v>87.17</v>
      </c>
      <c r="DA98">
        <f>AJ98</f>
        <v>10.42</v>
      </c>
      <c r="DB98">
        <v>0</v>
      </c>
    </row>
    <row r="99" spans="1:106" ht="12.75">
      <c r="A99">
        <f>ROW(Source!A40)</f>
        <v>40</v>
      </c>
      <c r="B99">
        <v>45926640</v>
      </c>
      <c r="C99">
        <v>45930239</v>
      </c>
      <c r="D99">
        <v>30617873</v>
      </c>
      <c r="E99">
        <v>1</v>
      </c>
      <c r="F99">
        <v>1</v>
      </c>
      <c r="G99">
        <v>1</v>
      </c>
      <c r="H99">
        <v>3</v>
      </c>
      <c r="I99" t="s">
        <v>534</v>
      </c>
      <c r="J99" t="s">
        <v>535</v>
      </c>
      <c r="K99" t="s">
        <v>536</v>
      </c>
      <c r="L99">
        <v>1348</v>
      </c>
      <c r="N99">
        <v>1009</v>
      </c>
      <c r="O99" t="s">
        <v>406</v>
      </c>
      <c r="P99" t="s">
        <v>406</v>
      </c>
      <c r="Q99">
        <v>1000</v>
      </c>
      <c r="W99">
        <v>0</v>
      </c>
      <c r="X99">
        <v>-1081944564</v>
      </c>
      <c r="Y99">
        <v>0.0007</v>
      </c>
      <c r="AA99">
        <v>139038.85</v>
      </c>
      <c r="AB99">
        <v>0</v>
      </c>
      <c r="AC99">
        <v>0</v>
      </c>
      <c r="AD99">
        <v>0</v>
      </c>
      <c r="AE99">
        <v>30029.99</v>
      </c>
      <c r="AF99">
        <v>0</v>
      </c>
      <c r="AG99">
        <v>0</v>
      </c>
      <c r="AH99">
        <v>0</v>
      </c>
      <c r="AI99">
        <v>4.63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0.0007</v>
      </c>
      <c r="AV99">
        <v>0</v>
      </c>
      <c r="AW99">
        <v>2</v>
      </c>
      <c r="AX99">
        <v>45930245</v>
      </c>
      <c r="AY99">
        <v>1</v>
      </c>
      <c r="AZ99">
        <v>0</v>
      </c>
      <c r="BA99">
        <v>98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Y99*Source!I40</f>
        <v>7.000000000000001E-05</v>
      </c>
      <c r="CY99">
        <f aca="true" t="shared" si="9" ref="CY99:CY106">AA99</f>
        <v>139038.85</v>
      </c>
      <c r="CZ99">
        <f aca="true" t="shared" si="10" ref="CZ99:CZ106">AE99</f>
        <v>30029.99</v>
      </c>
      <c r="DA99">
        <f aca="true" t="shared" si="11" ref="DA99:DA106">AI99</f>
        <v>4.63</v>
      </c>
      <c r="DB99">
        <v>0</v>
      </c>
    </row>
    <row r="100" spans="1:106" ht="12.75">
      <c r="A100">
        <f>ROW(Source!A40)</f>
        <v>40</v>
      </c>
      <c r="B100">
        <v>45926640</v>
      </c>
      <c r="C100">
        <v>45930239</v>
      </c>
      <c r="D100">
        <v>30620385</v>
      </c>
      <c r="E100">
        <v>1</v>
      </c>
      <c r="F100">
        <v>1</v>
      </c>
      <c r="G100">
        <v>1</v>
      </c>
      <c r="H100">
        <v>3</v>
      </c>
      <c r="I100" t="s">
        <v>537</v>
      </c>
      <c r="J100" t="s">
        <v>538</v>
      </c>
      <c r="K100" t="s">
        <v>539</v>
      </c>
      <c r="L100">
        <v>1348</v>
      </c>
      <c r="N100">
        <v>1009</v>
      </c>
      <c r="O100" t="s">
        <v>406</v>
      </c>
      <c r="P100" t="s">
        <v>406</v>
      </c>
      <c r="Q100">
        <v>1000</v>
      </c>
      <c r="W100">
        <v>0</v>
      </c>
      <c r="X100">
        <v>1625292450</v>
      </c>
      <c r="Y100">
        <v>0.0014</v>
      </c>
      <c r="AA100">
        <v>51858.14</v>
      </c>
      <c r="AB100">
        <v>0</v>
      </c>
      <c r="AC100">
        <v>0</v>
      </c>
      <c r="AD100">
        <v>0</v>
      </c>
      <c r="AE100">
        <v>15118.99</v>
      </c>
      <c r="AF100">
        <v>0</v>
      </c>
      <c r="AG100">
        <v>0</v>
      </c>
      <c r="AH100">
        <v>0</v>
      </c>
      <c r="AI100">
        <v>3.43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0.0014</v>
      </c>
      <c r="AV100">
        <v>0</v>
      </c>
      <c r="AW100">
        <v>2</v>
      </c>
      <c r="AX100">
        <v>45930246</v>
      </c>
      <c r="AY100">
        <v>1</v>
      </c>
      <c r="AZ100">
        <v>0</v>
      </c>
      <c r="BA100">
        <v>99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Y100*Source!I40</f>
        <v>0.00014000000000000001</v>
      </c>
      <c r="CY100">
        <f t="shared" si="9"/>
        <v>51858.14</v>
      </c>
      <c r="CZ100">
        <f t="shared" si="10"/>
        <v>15118.99</v>
      </c>
      <c r="DA100">
        <f t="shared" si="11"/>
        <v>3.43</v>
      </c>
      <c r="DB100">
        <v>0</v>
      </c>
    </row>
    <row r="101" spans="1:106" ht="12.75">
      <c r="A101">
        <f>ROW(Source!A40)</f>
        <v>40</v>
      </c>
      <c r="B101">
        <v>45926640</v>
      </c>
      <c r="C101">
        <v>45930239</v>
      </c>
      <c r="D101">
        <v>30620560</v>
      </c>
      <c r="E101">
        <v>1</v>
      </c>
      <c r="F101">
        <v>1</v>
      </c>
      <c r="G101">
        <v>1</v>
      </c>
      <c r="H101">
        <v>3</v>
      </c>
      <c r="I101" t="s">
        <v>540</v>
      </c>
      <c r="J101" t="s">
        <v>541</v>
      </c>
      <c r="K101" t="s">
        <v>542</v>
      </c>
      <c r="L101">
        <v>1348</v>
      </c>
      <c r="N101">
        <v>1009</v>
      </c>
      <c r="O101" t="s">
        <v>406</v>
      </c>
      <c r="P101" t="s">
        <v>406</v>
      </c>
      <c r="Q101">
        <v>1000</v>
      </c>
      <c r="W101">
        <v>0</v>
      </c>
      <c r="X101">
        <v>24062879</v>
      </c>
      <c r="Y101">
        <v>0.0007</v>
      </c>
      <c r="AA101">
        <v>66613.5</v>
      </c>
      <c r="AB101">
        <v>0</v>
      </c>
      <c r="AC101">
        <v>0</v>
      </c>
      <c r="AD101">
        <v>0</v>
      </c>
      <c r="AE101">
        <v>16950</v>
      </c>
      <c r="AF101">
        <v>0</v>
      </c>
      <c r="AG101">
        <v>0</v>
      </c>
      <c r="AH101">
        <v>0</v>
      </c>
      <c r="AI101">
        <v>3.93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0.0007</v>
      </c>
      <c r="AV101">
        <v>0</v>
      </c>
      <c r="AW101">
        <v>2</v>
      </c>
      <c r="AX101">
        <v>45930247</v>
      </c>
      <c r="AY101">
        <v>1</v>
      </c>
      <c r="AZ101">
        <v>0</v>
      </c>
      <c r="BA101">
        <v>100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Y101*Source!I40</f>
        <v>7.000000000000001E-05</v>
      </c>
      <c r="CY101">
        <f t="shared" si="9"/>
        <v>66613.5</v>
      </c>
      <c r="CZ101">
        <f t="shared" si="10"/>
        <v>16950</v>
      </c>
      <c r="DA101">
        <f t="shared" si="11"/>
        <v>3.93</v>
      </c>
      <c r="DB101">
        <v>0</v>
      </c>
    </row>
    <row r="102" spans="1:106" ht="12.75">
      <c r="A102">
        <f>ROW(Source!A40)</f>
        <v>40</v>
      </c>
      <c r="B102">
        <v>45926640</v>
      </c>
      <c r="C102">
        <v>45930239</v>
      </c>
      <c r="D102">
        <v>30619239</v>
      </c>
      <c r="E102">
        <v>1</v>
      </c>
      <c r="F102">
        <v>1</v>
      </c>
      <c r="G102">
        <v>1</v>
      </c>
      <c r="H102">
        <v>3</v>
      </c>
      <c r="I102" t="s">
        <v>543</v>
      </c>
      <c r="J102" t="s">
        <v>544</v>
      </c>
      <c r="K102" t="s">
        <v>545</v>
      </c>
      <c r="L102">
        <v>1348</v>
      </c>
      <c r="N102">
        <v>1009</v>
      </c>
      <c r="O102" t="s">
        <v>406</v>
      </c>
      <c r="P102" t="s">
        <v>406</v>
      </c>
      <c r="Q102">
        <v>1000</v>
      </c>
      <c r="W102">
        <v>0</v>
      </c>
      <c r="X102">
        <v>1748729848</v>
      </c>
      <c r="Y102">
        <v>0.002</v>
      </c>
      <c r="AA102">
        <v>26089.56</v>
      </c>
      <c r="AB102">
        <v>0</v>
      </c>
      <c r="AC102">
        <v>0</v>
      </c>
      <c r="AD102">
        <v>0</v>
      </c>
      <c r="AE102">
        <v>1836</v>
      </c>
      <c r="AF102">
        <v>0</v>
      </c>
      <c r="AG102">
        <v>0</v>
      </c>
      <c r="AH102">
        <v>0</v>
      </c>
      <c r="AI102">
        <v>14.21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0.002</v>
      </c>
      <c r="AV102">
        <v>0</v>
      </c>
      <c r="AW102">
        <v>2</v>
      </c>
      <c r="AX102">
        <v>45930248</v>
      </c>
      <c r="AY102">
        <v>1</v>
      </c>
      <c r="AZ102">
        <v>0</v>
      </c>
      <c r="BA102">
        <v>101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Y102*Source!I40</f>
        <v>0.0002</v>
      </c>
      <c r="CY102">
        <f t="shared" si="9"/>
        <v>26089.56</v>
      </c>
      <c r="CZ102">
        <f t="shared" si="10"/>
        <v>1836</v>
      </c>
      <c r="DA102">
        <f t="shared" si="11"/>
        <v>14.21</v>
      </c>
      <c r="DB102">
        <v>0</v>
      </c>
    </row>
    <row r="103" spans="1:106" ht="12.75">
      <c r="A103">
        <f>ROW(Source!A40)</f>
        <v>40</v>
      </c>
      <c r="B103">
        <v>45926640</v>
      </c>
      <c r="C103">
        <v>45930239</v>
      </c>
      <c r="D103">
        <v>30617950</v>
      </c>
      <c r="E103">
        <v>1</v>
      </c>
      <c r="F103">
        <v>1</v>
      </c>
      <c r="G103">
        <v>1</v>
      </c>
      <c r="H103">
        <v>3</v>
      </c>
      <c r="I103" t="s">
        <v>546</v>
      </c>
      <c r="J103" t="s">
        <v>547</v>
      </c>
      <c r="K103" t="s">
        <v>548</v>
      </c>
      <c r="L103">
        <v>1346</v>
      </c>
      <c r="N103">
        <v>1009</v>
      </c>
      <c r="O103" t="s">
        <v>351</v>
      </c>
      <c r="P103" t="s">
        <v>351</v>
      </c>
      <c r="Q103">
        <v>1</v>
      </c>
      <c r="W103">
        <v>0</v>
      </c>
      <c r="X103">
        <v>-2113933962</v>
      </c>
      <c r="Y103">
        <v>0.6</v>
      </c>
      <c r="AA103">
        <v>77.56</v>
      </c>
      <c r="AB103">
        <v>0</v>
      </c>
      <c r="AC103">
        <v>0</v>
      </c>
      <c r="AD103">
        <v>0</v>
      </c>
      <c r="AE103">
        <v>37.29</v>
      </c>
      <c r="AF103">
        <v>0</v>
      </c>
      <c r="AG103">
        <v>0</v>
      </c>
      <c r="AH103">
        <v>0</v>
      </c>
      <c r="AI103">
        <v>2.08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0.6</v>
      </c>
      <c r="AV103">
        <v>0</v>
      </c>
      <c r="AW103">
        <v>2</v>
      </c>
      <c r="AX103">
        <v>45930249</v>
      </c>
      <c r="AY103">
        <v>1</v>
      </c>
      <c r="AZ103">
        <v>0</v>
      </c>
      <c r="BA103">
        <v>102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Y103*Source!I40</f>
        <v>0.06</v>
      </c>
      <c r="CY103">
        <f t="shared" si="9"/>
        <v>77.56</v>
      </c>
      <c r="CZ103">
        <f t="shared" si="10"/>
        <v>37.29</v>
      </c>
      <c r="DA103">
        <f t="shared" si="11"/>
        <v>2.08</v>
      </c>
      <c r="DB103">
        <v>0</v>
      </c>
    </row>
    <row r="104" spans="1:106" ht="12.75">
      <c r="A104">
        <f>ROW(Source!A40)</f>
        <v>40</v>
      </c>
      <c r="B104">
        <v>45926640</v>
      </c>
      <c r="C104">
        <v>45930239</v>
      </c>
      <c r="D104">
        <v>30624225</v>
      </c>
      <c r="E104">
        <v>1</v>
      </c>
      <c r="F104">
        <v>1</v>
      </c>
      <c r="G104">
        <v>1</v>
      </c>
      <c r="H104">
        <v>3</v>
      </c>
      <c r="I104" t="s">
        <v>549</v>
      </c>
      <c r="J104" t="s">
        <v>550</v>
      </c>
      <c r="K104" t="s">
        <v>551</v>
      </c>
      <c r="L104">
        <v>1348</v>
      </c>
      <c r="N104">
        <v>1009</v>
      </c>
      <c r="O104" t="s">
        <v>406</v>
      </c>
      <c r="P104" t="s">
        <v>406</v>
      </c>
      <c r="Q104">
        <v>1000</v>
      </c>
      <c r="W104">
        <v>0</v>
      </c>
      <c r="X104">
        <v>1508482943</v>
      </c>
      <c r="Y104">
        <v>0.0001</v>
      </c>
      <c r="AA104">
        <v>77465.6</v>
      </c>
      <c r="AB104">
        <v>0</v>
      </c>
      <c r="AC104">
        <v>0</v>
      </c>
      <c r="AD104">
        <v>0</v>
      </c>
      <c r="AE104">
        <v>15130</v>
      </c>
      <c r="AF104">
        <v>0</v>
      </c>
      <c r="AG104">
        <v>0</v>
      </c>
      <c r="AH104">
        <v>0</v>
      </c>
      <c r="AI104">
        <v>5.12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0.0001</v>
      </c>
      <c r="AV104">
        <v>0</v>
      </c>
      <c r="AW104">
        <v>2</v>
      </c>
      <c r="AX104">
        <v>45930250</v>
      </c>
      <c r="AY104">
        <v>1</v>
      </c>
      <c r="AZ104">
        <v>0</v>
      </c>
      <c r="BA104">
        <v>103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Y104*Source!I40</f>
        <v>1E-05</v>
      </c>
      <c r="CY104">
        <f t="shared" si="9"/>
        <v>77465.6</v>
      </c>
      <c r="CZ104">
        <f t="shared" si="10"/>
        <v>15130</v>
      </c>
      <c r="DA104">
        <f t="shared" si="11"/>
        <v>5.12</v>
      </c>
      <c r="DB104">
        <v>0</v>
      </c>
    </row>
    <row r="105" spans="1:106" ht="12.75">
      <c r="A105">
        <f>ROW(Source!A40)</f>
        <v>40</v>
      </c>
      <c r="B105">
        <v>45926640</v>
      </c>
      <c r="C105">
        <v>45930239</v>
      </c>
      <c r="D105">
        <v>30652072</v>
      </c>
      <c r="E105">
        <v>1</v>
      </c>
      <c r="F105">
        <v>1</v>
      </c>
      <c r="G105">
        <v>1</v>
      </c>
      <c r="H105">
        <v>3</v>
      </c>
      <c r="I105" t="s">
        <v>111</v>
      </c>
      <c r="J105" t="s">
        <v>113</v>
      </c>
      <c r="K105" t="s">
        <v>112</v>
      </c>
      <c r="L105">
        <v>1035</v>
      </c>
      <c r="N105">
        <v>1013</v>
      </c>
      <c r="O105" t="s">
        <v>44</v>
      </c>
      <c r="P105" t="s">
        <v>44</v>
      </c>
      <c r="Q105">
        <v>1</v>
      </c>
      <c r="W105">
        <v>1</v>
      </c>
      <c r="X105">
        <v>1921596583</v>
      </c>
      <c r="Y105">
        <v>-10</v>
      </c>
      <c r="AA105">
        <v>7175.49</v>
      </c>
      <c r="AB105">
        <v>0</v>
      </c>
      <c r="AC105">
        <v>0</v>
      </c>
      <c r="AD105">
        <v>0</v>
      </c>
      <c r="AE105">
        <v>5649.99</v>
      </c>
      <c r="AF105">
        <v>0</v>
      </c>
      <c r="AG105">
        <v>0</v>
      </c>
      <c r="AH105">
        <v>0</v>
      </c>
      <c r="AI105">
        <v>1.27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-10</v>
      </c>
      <c r="AV105">
        <v>0</v>
      </c>
      <c r="AW105">
        <v>2</v>
      </c>
      <c r="AX105">
        <v>45930251</v>
      </c>
      <c r="AY105">
        <v>1</v>
      </c>
      <c r="AZ105">
        <v>6144</v>
      </c>
      <c r="BA105">
        <v>104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Y105*Source!I40</f>
        <v>-1</v>
      </c>
      <c r="CY105">
        <f t="shared" si="9"/>
        <v>7175.49</v>
      </c>
      <c r="CZ105">
        <f t="shared" si="10"/>
        <v>5649.99</v>
      </c>
      <c r="DA105">
        <f t="shared" si="11"/>
        <v>1.27</v>
      </c>
      <c r="DB105">
        <v>0</v>
      </c>
    </row>
    <row r="106" spans="1:106" ht="12.75">
      <c r="A106">
        <f>ROW(Source!A40)</f>
        <v>40</v>
      </c>
      <c r="B106">
        <v>45926640</v>
      </c>
      <c r="C106">
        <v>45930239</v>
      </c>
      <c r="D106">
        <v>30652073</v>
      </c>
      <c r="E106">
        <v>1</v>
      </c>
      <c r="F106">
        <v>1</v>
      </c>
      <c r="G106">
        <v>1</v>
      </c>
      <c r="H106">
        <v>3</v>
      </c>
      <c r="I106" t="s">
        <v>115</v>
      </c>
      <c r="J106" t="s">
        <v>117</v>
      </c>
      <c r="K106" t="s">
        <v>116</v>
      </c>
      <c r="L106">
        <v>1035</v>
      </c>
      <c r="N106">
        <v>1013</v>
      </c>
      <c r="O106" t="s">
        <v>44</v>
      </c>
      <c r="P106" t="s">
        <v>44</v>
      </c>
      <c r="Q106">
        <v>1</v>
      </c>
      <c r="W106">
        <v>0</v>
      </c>
      <c r="X106">
        <v>-186917535</v>
      </c>
      <c r="Y106">
        <v>10</v>
      </c>
      <c r="AA106">
        <v>14115.4</v>
      </c>
      <c r="AB106">
        <v>0</v>
      </c>
      <c r="AC106">
        <v>0</v>
      </c>
      <c r="AD106">
        <v>0</v>
      </c>
      <c r="AE106">
        <v>7930</v>
      </c>
      <c r="AF106">
        <v>0</v>
      </c>
      <c r="AG106">
        <v>0</v>
      </c>
      <c r="AH106">
        <v>0</v>
      </c>
      <c r="AI106">
        <v>1.78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T106">
        <v>10</v>
      </c>
      <c r="AV106">
        <v>0</v>
      </c>
      <c r="AW106">
        <v>1</v>
      </c>
      <c r="AX106">
        <v>-1</v>
      </c>
      <c r="AY106">
        <v>0</v>
      </c>
      <c r="AZ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Y106*Source!I40</f>
        <v>1</v>
      </c>
      <c r="CY106">
        <f t="shared" si="9"/>
        <v>14115.4</v>
      </c>
      <c r="CZ106">
        <f t="shared" si="10"/>
        <v>7930</v>
      </c>
      <c r="DA106">
        <f t="shared" si="11"/>
        <v>1.78</v>
      </c>
      <c r="DB106">
        <v>0</v>
      </c>
    </row>
    <row r="107" spans="1:106" ht="12.75">
      <c r="A107">
        <f>ROW(Source!A43)</f>
        <v>43</v>
      </c>
      <c r="B107">
        <v>45926640</v>
      </c>
      <c r="C107">
        <v>45926920</v>
      </c>
      <c r="D107">
        <v>13668731</v>
      </c>
      <c r="E107">
        <v>1</v>
      </c>
      <c r="F107">
        <v>1</v>
      </c>
      <c r="G107">
        <v>1</v>
      </c>
      <c r="H107">
        <v>1</v>
      </c>
      <c r="I107" t="s">
        <v>552</v>
      </c>
      <c r="K107" t="s">
        <v>553</v>
      </c>
      <c r="L107">
        <v>1369</v>
      </c>
      <c r="N107">
        <v>1013</v>
      </c>
      <c r="O107" t="s">
        <v>335</v>
      </c>
      <c r="P107" t="s">
        <v>335</v>
      </c>
      <c r="Q107">
        <v>1</v>
      </c>
      <c r="W107">
        <v>0</v>
      </c>
      <c r="X107">
        <v>-464685602</v>
      </c>
      <c r="Y107">
        <v>28.336</v>
      </c>
      <c r="AA107">
        <v>0</v>
      </c>
      <c r="AB107">
        <v>0</v>
      </c>
      <c r="AC107">
        <v>0</v>
      </c>
      <c r="AD107">
        <v>9.51</v>
      </c>
      <c r="AE107">
        <v>0</v>
      </c>
      <c r="AF107">
        <v>0</v>
      </c>
      <c r="AG107">
        <v>0</v>
      </c>
      <c r="AH107">
        <v>9.51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24.64</v>
      </c>
      <c r="AU107" t="s">
        <v>20</v>
      </c>
      <c r="AV107">
        <v>1</v>
      </c>
      <c r="AW107">
        <v>2</v>
      </c>
      <c r="AX107">
        <v>45926937</v>
      </c>
      <c r="AY107">
        <v>1</v>
      </c>
      <c r="AZ107">
        <v>0</v>
      </c>
      <c r="BA107">
        <v>105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Y107*Source!I43</f>
        <v>2.8336</v>
      </c>
      <c r="CY107">
        <f>AD107</f>
        <v>9.51</v>
      </c>
      <c r="CZ107">
        <f>AH107</f>
        <v>9.51</v>
      </c>
      <c r="DA107">
        <f>AL107</f>
        <v>1</v>
      </c>
      <c r="DB107">
        <v>0</v>
      </c>
    </row>
    <row r="108" spans="1:106" ht="12.75">
      <c r="A108">
        <f>ROW(Source!A43)</f>
        <v>43</v>
      </c>
      <c r="B108">
        <v>45926640</v>
      </c>
      <c r="C108">
        <v>45926920</v>
      </c>
      <c r="D108">
        <v>121548</v>
      </c>
      <c r="E108">
        <v>1</v>
      </c>
      <c r="F108">
        <v>1</v>
      </c>
      <c r="G108">
        <v>1</v>
      </c>
      <c r="H108">
        <v>1</v>
      </c>
      <c r="I108" t="s">
        <v>32</v>
      </c>
      <c r="K108" t="s">
        <v>336</v>
      </c>
      <c r="L108">
        <v>608254</v>
      </c>
      <c r="N108">
        <v>1013</v>
      </c>
      <c r="O108" t="s">
        <v>337</v>
      </c>
      <c r="P108" t="s">
        <v>337</v>
      </c>
      <c r="Q108">
        <v>1</v>
      </c>
      <c r="W108">
        <v>0</v>
      </c>
      <c r="X108">
        <v>-185737400</v>
      </c>
      <c r="Y108">
        <v>0.4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0.32</v>
      </c>
      <c r="AU108" t="s">
        <v>19</v>
      </c>
      <c r="AV108">
        <v>2</v>
      </c>
      <c r="AW108">
        <v>2</v>
      </c>
      <c r="AX108">
        <v>45926938</v>
      </c>
      <c r="AY108">
        <v>1</v>
      </c>
      <c r="AZ108">
        <v>0</v>
      </c>
      <c r="BA108">
        <v>106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Y108*Source!I43</f>
        <v>0.04000000000000001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ht="12.75">
      <c r="A109">
        <f>ROW(Source!A43)</f>
        <v>43</v>
      </c>
      <c r="B109">
        <v>45926640</v>
      </c>
      <c r="C109">
        <v>45926920</v>
      </c>
      <c r="D109">
        <v>30682543</v>
      </c>
      <c r="E109">
        <v>1</v>
      </c>
      <c r="F109">
        <v>1</v>
      </c>
      <c r="G109">
        <v>1</v>
      </c>
      <c r="H109">
        <v>2</v>
      </c>
      <c r="I109" t="s">
        <v>440</v>
      </c>
      <c r="J109" t="s">
        <v>441</v>
      </c>
      <c r="K109" t="s">
        <v>442</v>
      </c>
      <c r="L109">
        <v>1368</v>
      </c>
      <c r="N109">
        <v>1011</v>
      </c>
      <c r="O109" t="s">
        <v>341</v>
      </c>
      <c r="P109" t="s">
        <v>341</v>
      </c>
      <c r="Q109">
        <v>1</v>
      </c>
      <c r="W109">
        <v>0</v>
      </c>
      <c r="X109">
        <v>344519037</v>
      </c>
      <c r="Y109">
        <v>0.4</v>
      </c>
      <c r="AA109">
        <v>0</v>
      </c>
      <c r="AB109">
        <v>445.46</v>
      </c>
      <c r="AC109">
        <v>427.95</v>
      </c>
      <c r="AD109">
        <v>0</v>
      </c>
      <c r="AE109">
        <v>0</v>
      </c>
      <c r="AF109">
        <v>31.26</v>
      </c>
      <c r="AG109">
        <v>13.5</v>
      </c>
      <c r="AH109">
        <v>0</v>
      </c>
      <c r="AI109">
        <v>1</v>
      </c>
      <c r="AJ109">
        <v>14.25</v>
      </c>
      <c r="AK109">
        <v>31.7</v>
      </c>
      <c r="AL109">
        <v>1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0.32</v>
      </c>
      <c r="AU109" t="s">
        <v>19</v>
      </c>
      <c r="AV109">
        <v>0</v>
      </c>
      <c r="AW109">
        <v>2</v>
      </c>
      <c r="AX109">
        <v>45926939</v>
      </c>
      <c r="AY109">
        <v>1</v>
      </c>
      <c r="AZ109">
        <v>0</v>
      </c>
      <c r="BA109">
        <v>107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Y109*Source!I43</f>
        <v>0.04000000000000001</v>
      </c>
      <c r="CY109">
        <f>AB109</f>
        <v>445.46</v>
      </c>
      <c r="CZ109">
        <f>AF109</f>
        <v>31.26</v>
      </c>
      <c r="DA109">
        <f>AJ109</f>
        <v>14.25</v>
      </c>
      <c r="DB109">
        <v>0</v>
      </c>
    </row>
    <row r="110" spans="1:106" ht="12.75">
      <c r="A110">
        <f>ROW(Source!A43)</f>
        <v>43</v>
      </c>
      <c r="B110">
        <v>45926640</v>
      </c>
      <c r="C110">
        <v>45926920</v>
      </c>
      <c r="D110">
        <v>30684488</v>
      </c>
      <c r="E110">
        <v>1</v>
      </c>
      <c r="F110">
        <v>1</v>
      </c>
      <c r="G110">
        <v>1</v>
      </c>
      <c r="H110">
        <v>2</v>
      </c>
      <c r="I110" t="s">
        <v>496</v>
      </c>
      <c r="J110" t="s">
        <v>497</v>
      </c>
      <c r="K110" t="s">
        <v>498</v>
      </c>
      <c r="L110">
        <v>1368</v>
      </c>
      <c r="N110">
        <v>1011</v>
      </c>
      <c r="O110" t="s">
        <v>341</v>
      </c>
      <c r="P110" t="s">
        <v>341</v>
      </c>
      <c r="Q110">
        <v>1</v>
      </c>
      <c r="W110">
        <v>0</v>
      </c>
      <c r="X110">
        <v>-1867053656</v>
      </c>
      <c r="Y110">
        <v>0.25</v>
      </c>
      <c r="AA110">
        <v>0</v>
      </c>
      <c r="AB110">
        <v>7.33</v>
      </c>
      <c r="AC110">
        <v>0</v>
      </c>
      <c r="AD110">
        <v>0</v>
      </c>
      <c r="AE110">
        <v>0</v>
      </c>
      <c r="AF110">
        <v>1.95</v>
      </c>
      <c r="AG110">
        <v>0</v>
      </c>
      <c r="AH110">
        <v>0</v>
      </c>
      <c r="AI110">
        <v>1</v>
      </c>
      <c r="AJ110">
        <v>3.76</v>
      </c>
      <c r="AK110">
        <v>31.7</v>
      </c>
      <c r="AL110">
        <v>1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0.2</v>
      </c>
      <c r="AU110" t="s">
        <v>19</v>
      </c>
      <c r="AV110">
        <v>0</v>
      </c>
      <c r="AW110">
        <v>2</v>
      </c>
      <c r="AX110">
        <v>45926940</v>
      </c>
      <c r="AY110">
        <v>1</v>
      </c>
      <c r="AZ110">
        <v>0</v>
      </c>
      <c r="BA110">
        <v>108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Y110*Source!I43</f>
        <v>0.025</v>
      </c>
      <c r="CY110">
        <f>AB110</f>
        <v>7.33</v>
      </c>
      <c r="CZ110">
        <f>AF110</f>
        <v>1.95</v>
      </c>
      <c r="DA110">
        <f>AJ110</f>
        <v>3.76</v>
      </c>
      <c r="DB110">
        <v>0</v>
      </c>
    </row>
    <row r="111" spans="1:106" ht="12.75">
      <c r="A111">
        <f>ROW(Source!A43)</f>
        <v>43</v>
      </c>
      <c r="B111">
        <v>45926640</v>
      </c>
      <c r="C111">
        <v>45926920</v>
      </c>
      <c r="D111">
        <v>30684901</v>
      </c>
      <c r="E111">
        <v>1</v>
      </c>
      <c r="F111">
        <v>1</v>
      </c>
      <c r="G111">
        <v>1</v>
      </c>
      <c r="H111">
        <v>2</v>
      </c>
      <c r="I111" t="s">
        <v>400</v>
      </c>
      <c r="J111" t="s">
        <v>485</v>
      </c>
      <c r="K111" t="s">
        <v>402</v>
      </c>
      <c r="L111">
        <v>1368</v>
      </c>
      <c r="N111">
        <v>1011</v>
      </c>
      <c r="O111" t="s">
        <v>341</v>
      </c>
      <c r="P111" t="s">
        <v>341</v>
      </c>
      <c r="Q111">
        <v>1</v>
      </c>
      <c r="W111">
        <v>0</v>
      </c>
      <c r="X111">
        <v>1230759911</v>
      </c>
      <c r="Y111">
        <v>0.48750000000000004</v>
      </c>
      <c r="AA111">
        <v>0</v>
      </c>
      <c r="AB111">
        <v>908.31</v>
      </c>
      <c r="AC111">
        <v>367.72</v>
      </c>
      <c r="AD111">
        <v>0</v>
      </c>
      <c r="AE111">
        <v>0</v>
      </c>
      <c r="AF111">
        <v>87.17</v>
      </c>
      <c r="AG111">
        <v>11.6</v>
      </c>
      <c r="AH111">
        <v>0</v>
      </c>
      <c r="AI111">
        <v>1</v>
      </c>
      <c r="AJ111">
        <v>10.42</v>
      </c>
      <c r="AK111">
        <v>31.7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0.39</v>
      </c>
      <c r="AU111" t="s">
        <v>19</v>
      </c>
      <c r="AV111">
        <v>0</v>
      </c>
      <c r="AW111">
        <v>2</v>
      </c>
      <c r="AX111">
        <v>45926941</v>
      </c>
      <c r="AY111">
        <v>1</v>
      </c>
      <c r="AZ111">
        <v>0</v>
      </c>
      <c r="BA111">
        <v>109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Y111*Source!I43</f>
        <v>0.04875000000000001</v>
      </c>
      <c r="CY111">
        <f>AB111</f>
        <v>908.31</v>
      </c>
      <c r="CZ111">
        <f>AF111</f>
        <v>87.17</v>
      </c>
      <c r="DA111">
        <f>AJ111</f>
        <v>10.42</v>
      </c>
      <c r="DB111">
        <v>0</v>
      </c>
    </row>
    <row r="112" spans="1:106" ht="12.75">
      <c r="A112">
        <f>ROW(Source!A43)</f>
        <v>43</v>
      </c>
      <c r="B112">
        <v>45926640</v>
      </c>
      <c r="C112">
        <v>45926920</v>
      </c>
      <c r="D112">
        <v>30617873</v>
      </c>
      <c r="E112">
        <v>1</v>
      </c>
      <c r="F112">
        <v>1</v>
      </c>
      <c r="G112">
        <v>1</v>
      </c>
      <c r="H112">
        <v>3</v>
      </c>
      <c r="I112" t="s">
        <v>534</v>
      </c>
      <c r="J112" t="s">
        <v>535</v>
      </c>
      <c r="K112" t="s">
        <v>536</v>
      </c>
      <c r="L112">
        <v>1348</v>
      </c>
      <c r="N112">
        <v>1009</v>
      </c>
      <c r="O112" t="s">
        <v>406</v>
      </c>
      <c r="P112" t="s">
        <v>406</v>
      </c>
      <c r="Q112">
        <v>1000</v>
      </c>
      <c r="W112">
        <v>0</v>
      </c>
      <c r="X112">
        <v>-1081944564</v>
      </c>
      <c r="Y112">
        <v>0.001</v>
      </c>
      <c r="AA112">
        <v>139038.85</v>
      </c>
      <c r="AB112">
        <v>0</v>
      </c>
      <c r="AC112">
        <v>0</v>
      </c>
      <c r="AD112">
        <v>0</v>
      </c>
      <c r="AE112">
        <v>30029.99</v>
      </c>
      <c r="AF112">
        <v>0</v>
      </c>
      <c r="AG112">
        <v>0</v>
      </c>
      <c r="AH112">
        <v>0</v>
      </c>
      <c r="AI112">
        <v>4.63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0.001</v>
      </c>
      <c r="AV112">
        <v>0</v>
      </c>
      <c r="AW112">
        <v>2</v>
      </c>
      <c r="AX112">
        <v>45926942</v>
      </c>
      <c r="AY112">
        <v>1</v>
      </c>
      <c r="AZ112">
        <v>0</v>
      </c>
      <c r="BA112">
        <v>110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Y112*Source!I43</f>
        <v>0.0001</v>
      </c>
      <c r="CY112">
        <f aca="true" t="shared" si="12" ref="CY112:CY122">AA112</f>
        <v>139038.85</v>
      </c>
      <c r="CZ112">
        <f aca="true" t="shared" si="13" ref="CZ112:CZ122">AE112</f>
        <v>30029.99</v>
      </c>
      <c r="DA112">
        <f aca="true" t="shared" si="14" ref="DA112:DA122">AI112</f>
        <v>4.63</v>
      </c>
      <c r="DB112">
        <v>0</v>
      </c>
    </row>
    <row r="113" spans="1:106" ht="12.75">
      <c r="A113">
        <f>ROW(Source!A43)</f>
        <v>43</v>
      </c>
      <c r="B113">
        <v>45926640</v>
      </c>
      <c r="C113">
        <v>45926920</v>
      </c>
      <c r="D113">
        <v>30620385</v>
      </c>
      <c r="E113">
        <v>1</v>
      </c>
      <c r="F113">
        <v>1</v>
      </c>
      <c r="G113">
        <v>1</v>
      </c>
      <c r="H113">
        <v>3</v>
      </c>
      <c r="I113" t="s">
        <v>537</v>
      </c>
      <c r="J113" t="s">
        <v>538</v>
      </c>
      <c r="K113" t="s">
        <v>539</v>
      </c>
      <c r="L113">
        <v>1348</v>
      </c>
      <c r="N113">
        <v>1009</v>
      </c>
      <c r="O113" t="s">
        <v>406</v>
      </c>
      <c r="P113" t="s">
        <v>406</v>
      </c>
      <c r="Q113">
        <v>1000</v>
      </c>
      <c r="W113">
        <v>0</v>
      </c>
      <c r="X113">
        <v>1625292450</v>
      </c>
      <c r="Y113">
        <v>0.0004</v>
      </c>
      <c r="AA113">
        <v>51858.14</v>
      </c>
      <c r="AB113">
        <v>0</v>
      </c>
      <c r="AC113">
        <v>0</v>
      </c>
      <c r="AD113">
        <v>0</v>
      </c>
      <c r="AE113">
        <v>15118.99</v>
      </c>
      <c r="AF113">
        <v>0</v>
      </c>
      <c r="AG113">
        <v>0</v>
      </c>
      <c r="AH113">
        <v>0</v>
      </c>
      <c r="AI113">
        <v>3.43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0.0004</v>
      </c>
      <c r="AV113">
        <v>0</v>
      </c>
      <c r="AW113">
        <v>2</v>
      </c>
      <c r="AX113">
        <v>45926943</v>
      </c>
      <c r="AY113">
        <v>1</v>
      </c>
      <c r="AZ113">
        <v>0</v>
      </c>
      <c r="BA113">
        <v>111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Y113*Source!I43</f>
        <v>4E-05</v>
      </c>
      <c r="CY113">
        <f t="shared" si="12"/>
        <v>51858.14</v>
      </c>
      <c r="CZ113">
        <f t="shared" si="13"/>
        <v>15118.99</v>
      </c>
      <c r="DA113">
        <f t="shared" si="14"/>
        <v>3.43</v>
      </c>
      <c r="DB113">
        <v>0</v>
      </c>
    </row>
    <row r="114" spans="1:106" ht="12.75">
      <c r="A114">
        <f>ROW(Source!A43)</f>
        <v>43</v>
      </c>
      <c r="B114">
        <v>45926640</v>
      </c>
      <c r="C114">
        <v>45926920</v>
      </c>
      <c r="D114">
        <v>30620560</v>
      </c>
      <c r="E114">
        <v>1</v>
      </c>
      <c r="F114">
        <v>1</v>
      </c>
      <c r="G114">
        <v>1</v>
      </c>
      <c r="H114">
        <v>3</v>
      </c>
      <c r="I114" t="s">
        <v>540</v>
      </c>
      <c r="J114" t="s">
        <v>541</v>
      </c>
      <c r="K114" t="s">
        <v>542</v>
      </c>
      <c r="L114">
        <v>1348</v>
      </c>
      <c r="N114">
        <v>1009</v>
      </c>
      <c r="O114" t="s">
        <v>406</v>
      </c>
      <c r="P114" t="s">
        <v>406</v>
      </c>
      <c r="Q114">
        <v>1000</v>
      </c>
      <c r="W114">
        <v>0</v>
      </c>
      <c r="X114">
        <v>24062879</v>
      </c>
      <c r="Y114">
        <v>0.0002</v>
      </c>
      <c r="AA114">
        <v>66613.5</v>
      </c>
      <c r="AB114">
        <v>0</v>
      </c>
      <c r="AC114">
        <v>0</v>
      </c>
      <c r="AD114">
        <v>0</v>
      </c>
      <c r="AE114">
        <v>16950</v>
      </c>
      <c r="AF114">
        <v>0</v>
      </c>
      <c r="AG114">
        <v>0</v>
      </c>
      <c r="AH114">
        <v>0</v>
      </c>
      <c r="AI114">
        <v>3.93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0.0002</v>
      </c>
      <c r="AV114">
        <v>0</v>
      </c>
      <c r="AW114">
        <v>2</v>
      </c>
      <c r="AX114">
        <v>45926944</v>
      </c>
      <c r="AY114">
        <v>1</v>
      </c>
      <c r="AZ114">
        <v>0</v>
      </c>
      <c r="BA114">
        <v>112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Y114*Source!I43</f>
        <v>2E-05</v>
      </c>
      <c r="CY114">
        <f t="shared" si="12"/>
        <v>66613.5</v>
      </c>
      <c r="CZ114">
        <f t="shared" si="13"/>
        <v>16950</v>
      </c>
      <c r="DA114">
        <f t="shared" si="14"/>
        <v>3.93</v>
      </c>
      <c r="DB114">
        <v>0</v>
      </c>
    </row>
    <row r="115" spans="1:106" ht="12.75">
      <c r="A115">
        <f>ROW(Source!A43)</f>
        <v>43</v>
      </c>
      <c r="B115">
        <v>45926640</v>
      </c>
      <c r="C115">
        <v>45926920</v>
      </c>
      <c r="D115">
        <v>30620135</v>
      </c>
      <c r="E115">
        <v>1</v>
      </c>
      <c r="F115">
        <v>1</v>
      </c>
      <c r="G115">
        <v>1</v>
      </c>
      <c r="H115">
        <v>3</v>
      </c>
      <c r="I115" t="s">
        <v>554</v>
      </c>
      <c r="J115" t="s">
        <v>555</v>
      </c>
      <c r="K115" t="s">
        <v>556</v>
      </c>
      <c r="L115">
        <v>1346</v>
      </c>
      <c r="N115">
        <v>1009</v>
      </c>
      <c r="O115" t="s">
        <v>351</v>
      </c>
      <c r="P115" t="s">
        <v>351</v>
      </c>
      <c r="Q115">
        <v>1</v>
      </c>
      <c r="W115">
        <v>0</v>
      </c>
      <c r="X115">
        <v>732645912</v>
      </c>
      <c r="Y115">
        <v>0.8</v>
      </c>
      <c r="AA115">
        <v>75.47</v>
      </c>
      <c r="AB115">
        <v>0</v>
      </c>
      <c r="AC115">
        <v>0</v>
      </c>
      <c r="AD115">
        <v>0</v>
      </c>
      <c r="AE115">
        <v>13.55</v>
      </c>
      <c r="AF115">
        <v>0</v>
      </c>
      <c r="AG115">
        <v>0</v>
      </c>
      <c r="AH115">
        <v>0</v>
      </c>
      <c r="AI115">
        <v>5.57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0.8</v>
      </c>
      <c r="AV115">
        <v>0</v>
      </c>
      <c r="AW115">
        <v>2</v>
      </c>
      <c r="AX115">
        <v>45926945</v>
      </c>
      <c r="AY115">
        <v>1</v>
      </c>
      <c r="AZ115">
        <v>0</v>
      </c>
      <c r="BA115">
        <v>113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Y115*Source!I43</f>
        <v>0.08000000000000002</v>
      </c>
      <c r="CY115">
        <f t="shared" si="12"/>
        <v>75.47</v>
      </c>
      <c r="CZ115">
        <f t="shared" si="13"/>
        <v>13.55</v>
      </c>
      <c r="DA115">
        <f t="shared" si="14"/>
        <v>5.57</v>
      </c>
      <c r="DB115">
        <v>0</v>
      </c>
    </row>
    <row r="116" spans="1:106" ht="12.75">
      <c r="A116">
        <f>ROW(Source!A43)</f>
        <v>43</v>
      </c>
      <c r="B116">
        <v>45926640</v>
      </c>
      <c r="C116">
        <v>45926920</v>
      </c>
      <c r="D116">
        <v>30617950</v>
      </c>
      <c r="E116">
        <v>1</v>
      </c>
      <c r="F116">
        <v>1</v>
      </c>
      <c r="G116">
        <v>1</v>
      </c>
      <c r="H116">
        <v>3</v>
      </c>
      <c r="I116" t="s">
        <v>546</v>
      </c>
      <c r="J116" t="s">
        <v>547</v>
      </c>
      <c r="K116" t="s">
        <v>548</v>
      </c>
      <c r="L116">
        <v>1346</v>
      </c>
      <c r="N116">
        <v>1009</v>
      </c>
      <c r="O116" t="s">
        <v>351</v>
      </c>
      <c r="P116" t="s">
        <v>351</v>
      </c>
      <c r="Q116">
        <v>1</v>
      </c>
      <c r="W116">
        <v>0</v>
      </c>
      <c r="X116">
        <v>-2113933962</v>
      </c>
      <c r="Y116">
        <v>0.04</v>
      </c>
      <c r="AA116">
        <v>77.56</v>
      </c>
      <c r="AB116">
        <v>0</v>
      </c>
      <c r="AC116">
        <v>0</v>
      </c>
      <c r="AD116">
        <v>0</v>
      </c>
      <c r="AE116">
        <v>37.29</v>
      </c>
      <c r="AF116">
        <v>0</v>
      </c>
      <c r="AG116">
        <v>0</v>
      </c>
      <c r="AH116">
        <v>0</v>
      </c>
      <c r="AI116">
        <v>2.08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0.04</v>
      </c>
      <c r="AV116">
        <v>0</v>
      </c>
      <c r="AW116">
        <v>2</v>
      </c>
      <c r="AX116">
        <v>45926946</v>
      </c>
      <c r="AY116">
        <v>1</v>
      </c>
      <c r="AZ116">
        <v>0</v>
      </c>
      <c r="BA116">
        <v>114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Y116*Source!I43</f>
        <v>0.004</v>
      </c>
      <c r="CY116">
        <f t="shared" si="12"/>
        <v>77.56</v>
      </c>
      <c r="CZ116">
        <f t="shared" si="13"/>
        <v>37.29</v>
      </c>
      <c r="DA116">
        <f t="shared" si="14"/>
        <v>2.08</v>
      </c>
      <c r="DB116">
        <v>0</v>
      </c>
    </row>
    <row r="117" spans="1:106" ht="12.75">
      <c r="A117">
        <f>ROW(Source!A43)</f>
        <v>43</v>
      </c>
      <c r="B117">
        <v>45926640</v>
      </c>
      <c r="C117">
        <v>45926920</v>
      </c>
      <c r="D117">
        <v>30617834</v>
      </c>
      <c r="E117">
        <v>1</v>
      </c>
      <c r="F117">
        <v>1</v>
      </c>
      <c r="G117">
        <v>1</v>
      </c>
      <c r="H117">
        <v>3</v>
      </c>
      <c r="I117" t="s">
        <v>557</v>
      </c>
      <c r="J117" t="s">
        <v>558</v>
      </c>
      <c r="K117" t="s">
        <v>559</v>
      </c>
      <c r="L117">
        <v>1346</v>
      </c>
      <c r="N117">
        <v>1009</v>
      </c>
      <c r="O117" t="s">
        <v>351</v>
      </c>
      <c r="P117" t="s">
        <v>351</v>
      </c>
      <c r="Q117">
        <v>1</v>
      </c>
      <c r="W117">
        <v>0</v>
      </c>
      <c r="X117">
        <v>1489730880</v>
      </c>
      <c r="Y117">
        <v>4</v>
      </c>
      <c r="AA117">
        <v>43.82</v>
      </c>
      <c r="AB117">
        <v>0</v>
      </c>
      <c r="AC117">
        <v>0</v>
      </c>
      <c r="AD117">
        <v>0</v>
      </c>
      <c r="AE117">
        <v>9.61</v>
      </c>
      <c r="AF117">
        <v>0</v>
      </c>
      <c r="AG117">
        <v>0</v>
      </c>
      <c r="AH117">
        <v>0</v>
      </c>
      <c r="AI117">
        <v>4.56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4</v>
      </c>
      <c r="AV117">
        <v>0</v>
      </c>
      <c r="AW117">
        <v>2</v>
      </c>
      <c r="AX117">
        <v>45926947</v>
      </c>
      <c r="AY117">
        <v>1</v>
      </c>
      <c r="AZ117">
        <v>0</v>
      </c>
      <c r="BA117">
        <v>115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Y117*Source!I43</f>
        <v>0.4</v>
      </c>
      <c r="CY117">
        <f t="shared" si="12"/>
        <v>43.82</v>
      </c>
      <c r="CZ117">
        <f t="shared" si="13"/>
        <v>9.61</v>
      </c>
      <c r="DA117">
        <f t="shared" si="14"/>
        <v>4.56</v>
      </c>
      <c r="DB117">
        <v>0</v>
      </c>
    </row>
    <row r="118" spans="1:106" ht="12.75">
      <c r="A118">
        <f>ROW(Source!A43)</f>
        <v>43</v>
      </c>
      <c r="B118">
        <v>45926640</v>
      </c>
      <c r="C118">
        <v>45926920</v>
      </c>
      <c r="D118">
        <v>30624681</v>
      </c>
      <c r="E118">
        <v>1</v>
      </c>
      <c r="F118">
        <v>1</v>
      </c>
      <c r="G118">
        <v>1</v>
      </c>
      <c r="H118">
        <v>3</v>
      </c>
      <c r="I118" t="s">
        <v>560</v>
      </c>
      <c r="J118" t="s">
        <v>561</v>
      </c>
      <c r="K118" t="s">
        <v>562</v>
      </c>
      <c r="L118">
        <v>1348</v>
      </c>
      <c r="N118">
        <v>1009</v>
      </c>
      <c r="O118" t="s">
        <v>406</v>
      </c>
      <c r="P118" t="s">
        <v>406</v>
      </c>
      <c r="Q118">
        <v>1000</v>
      </c>
      <c r="W118">
        <v>0</v>
      </c>
      <c r="X118">
        <v>707075697</v>
      </c>
      <c r="Y118">
        <v>0.0005</v>
      </c>
      <c r="AA118">
        <v>101304.42</v>
      </c>
      <c r="AB118">
        <v>0</v>
      </c>
      <c r="AC118">
        <v>0</v>
      </c>
      <c r="AD118">
        <v>0</v>
      </c>
      <c r="AE118">
        <v>12429.99</v>
      </c>
      <c r="AF118">
        <v>0</v>
      </c>
      <c r="AG118">
        <v>0</v>
      </c>
      <c r="AH118">
        <v>0</v>
      </c>
      <c r="AI118">
        <v>8.15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0.0005</v>
      </c>
      <c r="AV118">
        <v>0</v>
      </c>
      <c r="AW118">
        <v>2</v>
      </c>
      <c r="AX118">
        <v>45926948</v>
      </c>
      <c r="AY118">
        <v>1</v>
      </c>
      <c r="AZ118">
        <v>0</v>
      </c>
      <c r="BA118">
        <v>116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Y118*Source!I43</f>
        <v>5E-05</v>
      </c>
      <c r="CY118">
        <f t="shared" si="12"/>
        <v>101304.42</v>
      </c>
      <c r="CZ118">
        <f t="shared" si="13"/>
        <v>12429.99</v>
      </c>
      <c r="DA118">
        <f t="shared" si="14"/>
        <v>8.15</v>
      </c>
      <c r="DB118">
        <v>0</v>
      </c>
    </row>
    <row r="119" spans="1:106" ht="12.75">
      <c r="A119">
        <f>ROW(Source!A43)</f>
        <v>43</v>
      </c>
      <c r="B119">
        <v>45926640</v>
      </c>
      <c r="C119">
        <v>45926920</v>
      </c>
      <c r="D119">
        <v>30624460</v>
      </c>
      <c r="E119">
        <v>1</v>
      </c>
      <c r="F119">
        <v>1</v>
      </c>
      <c r="G119">
        <v>1</v>
      </c>
      <c r="H119">
        <v>3</v>
      </c>
      <c r="I119" t="s">
        <v>563</v>
      </c>
      <c r="J119" t="s">
        <v>564</v>
      </c>
      <c r="K119" t="s">
        <v>565</v>
      </c>
      <c r="L119">
        <v>1356</v>
      </c>
      <c r="N119">
        <v>1010</v>
      </c>
      <c r="O119" t="s">
        <v>566</v>
      </c>
      <c r="P119" t="s">
        <v>566</v>
      </c>
      <c r="Q119">
        <v>1000</v>
      </c>
      <c r="W119">
        <v>0</v>
      </c>
      <c r="X119">
        <v>206183101</v>
      </c>
      <c r="Y119">
        <v>0.04</v>
      </c>
      <c r="AA119">
        <v>223.75</v>
      </c>
      <c r="AB119">
        <v>0</v>
      </c>
      <c r="AC119">
        <v>0</v>
      </c>
      <c r="AD119">
        <v>0</v>
      </c>
      <c r="AE119">
        <v>179</v>
      </c>
      <c r="AF119">
        <v>0</v>
      </c>
      <c r="AG119">
        <v>0</v>
      </c>
      <c r="AH119">
        <v>0</v>
      </c>
      <c r="AI119">
        <v>1.25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0.04</v>
      </c>
      <c r="AV119">
        <v>0</v>
      </c>
      <c r="AW119">
        <v>2</v>
      </c>
      <c r="AX119">
        <v>45926949</v>
      </c>
      <c r="AY119">
        <v>1</v>
      </c>
      <c r="AZ119">
        <v>0</v>
      </c>
      <c r="BA119">
        <v>117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Y119*Source!I43</f>
        <v>0.004</v>
      </c>
      <c r="CY119">
        <f t="shared" si="12"/>
        <v>223.75</v>
      </c>
      <c r="CZ119">
        <f t="shared" si="13"/>
        <v>179</v>
      </c>
      <c r="DA119">
        <f t="shared" si="14"/>
        <v>1.25</v>
      </c>
      <c r="DB119">
        <v>0</v>
      </c>
    </row>
    <row r="120" spans="1:106" ht="12.75">
      <c r="A120">
        <f>ROW(Source!A43)</f>
        <v>43</v>
      </c>
      <c r="B120">
        <v>45926640</v>
      </c>
      <c r="C120">
        <v>45926920</v>
      </c>
      <c r="D120">
        <v>30632313</v>
      </c>
      <c r="E120">
        <v>1</v>
      </c>
      <c r="F120">
        <v>1</v>
      </c>
      <c r="G120">
        <v>1</v>
      </c>
      <c r="H120">
        <v>3</v>
      </c>
      <c r="I120" t="s">
        <v>567</v>
      </c>
      <c r="J120" t="s">
        <v>568</v>
      </c>
      <c r="K120" t="s">
        <v>569</v>
      </c>
      <c r="L120">
        <v>1348</v>
      </c>
      <c r="N120">
        <v>1009</v>
      </c>
      <c r="O120" t="s">
        <v>406</v>
      </c>
      <c r="P120" t="s">
        <v>406</v>
      </c>
      <c r="Q120">
        <v>1000</v>
      </c>
      <c r="W120">
        <v>0</v>
      </c>
      <c r="X120">
        <v>-1862124413</v>
      </c>
      <c r="Y120">
        <v>0.0008</v>
      </c>
      <c r="AA120">
        <v>315030.99</v>
      </c>
      <c r="AB120">
        <v>0</v>
      </c>
      <c r="AC120">
        <v>0</v>
      </c>
      <c r="AD120">
        <v>0</v>
      </c>
      <c r="AE120">
        <v>12329.98</v>
      </c>
      <c r="AF120">
        <v>0</v>
      </c>
      <c r="AG120">
        <v>0</v>
      </c>
      <c r="AH120">
        <v>0</v>
      </c>
      <c r="AI120">
        <v>25.55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0.0008</v>
      </c>
      <c r="AV120">
        <v>0</v>
      </c>
      <c r="AW120">
        <v>2</v>
      </c>
      <c r="AX120">
        <v>45926950</v>
      </c>
      <c r="AY120">
        <v>1</v>
      </c>
      <c r="AZ120">
        <v>0</v>
      </c>
      <c r="BA120">
        <v>118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Y120*Source!I43</f>
        <v>8E-05</v>
      </c>
      <c r="CY120">
        <f t="shared" si="12"/>
        <v>315030.99</v>
      </c>
      <c r="CZ120">
        <f t="shared" si="13"/>
        <v>12329.98</v>
      </c>
      <c r="DA120">
        <f t="shared" si="14"/>
        <v>25.55</v>
      </c>
      <c r="DB120">
        <v>0</v>
      </c>
    </row>
    <row r="121" spans="1:106" ht="12.75">
      <c r="A121">
        <f>ROW(Source!A43)</f>
        <v>43</v>
      </c>
      <c r="B121">
        <v>45926640</v>
      </c>
      <c r="C121">
        <v>45926920</v>
      </c>
      <c r="D121">
        <v>30652031</v>
      </c>
      <c r="E121">
        <v>1</v>
      </c>
      <c r="F121">
        <v>1</v>
      </c>
      <c r="G121">
        <v>1</v>
      </c>
      <c r="H121">
        <v>3</v>
      </c>
      <c r="I121" t="s">
        <v>570</v>
      </c>
      <c r="J121" t="s">
        <v>571</v>
      </c>
      <c r="K121" t="s">
        <v>572</v>
      </c>
      <c r="L121">
        <v>1035</v>
      </c>
      <c r="N121">
        <v>1013</v>
      </c>
      <c r="O121" t="s">
        <v>44</v>
      </c>
      <c r="P121" t="s">
        <v>44</v>
      </c>
      <c r="Q121">
        <v>1</v>
      </c>
      <c r="W121">
        <v>0</v>
      </c>
      <c r="X121">
        <v>1405225178</v>
      </c>
      <c r="Y121">
        <v>10</v>
      </c>
      <c r="AA121">
        <v>3377.16</v>
      </c>
      <c r="AB121">
        <v>0</v>
      </c>
      <c r="AC121">
        <v>0</v>
      </c>
      <c r="AD121">
        <v>0</v>
      </c>
      <c r="AE121">
        <v>318</v>
      </c>
      <c r="AF121">
        <v>0</v>
      </c>
      <c r="AG121">
        <v>0</v>
      </c>
      <c r="AH121">
        <v>0</v>
      </c>
      <c r="AI121">
        <v>10.62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10</v>
      </c>
      <c r="AV121">
        <v>0</v>
      </c>
      <c r="AW121">
        <v>2</v>
      </c>
      <c r="AX121">
        <v>45926951</v>
      </c>
      <c r="AY121">
        <v>1</v>
      </c>
      <c r="AZ121">
        <v>0</v>
      </c>
      <c r="BA121">
        <v>119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Y121*Source!I43</f>
        <v>1</v>
      </c>
      <c r="CY121">
        <f t="shared" si="12"/>
        <v>3377.16</v>
      </c>
      <c r="CZ121">
        <f t="shared" si="13"/>
        <v>318</v>
      </c>
      <c r="DA121">
        <f t="shared" si="14"/>
        <v>10.62</v>
      </c>
      <c r="DB121">
        <v>0</v>
      </c>
    </row>
    <row r="122" spans="1:106" ht="12.75">
      <c r="A122">
        <f>ROW(Source!A43)</f>
        <v>43</v>
      </c>
      <c r="B122">
        <v>45926640</v>
      </c>
      <c r="C122">
        <v>45926920</v>
      </c>
      <c r="D122">
        <v>30676023</v>
      </c>
      <c r="E122">
        <v>1</v>
      </c>
      <c r="F122">
        <v>1</v>
      </c>
      <c r="G122">
        <v>1</v>
      </c>
      <c r="H122">
        <v>3</v>
      </c>
      <c r="I122" t="s">
        <v>573</v>
      </c>
      <c r="J122" t="s">
        <v>574</v>
      </c>
      <c r="K122" t="s">
        <v>575</v>
      </c>
      <c r="L122">
        <v>1346</v>
      </c>
      <c r="N122">
        <v>1009</v>
      </c>
      <c r="O122" t="s">
        <v>351</v>
      </c>
      <c r="P122" t="s">
        <v>351</v>
      </c>
      <c r="Q122">
        <v>1</v>
      </c>
      <c r="W122">
        <v>0</v>
      </c>
      <c r="X122">
        <v>393238203</v>
      </c>
      <c r="Y122">
        <v>20</v>
      </c>
      <c r="AA122">
        <v>33.07</v>
      </c>
      <c r="AB122">
        <v>0</v>
      </c>
      <c r="AC122">
        <v>0</v>
      </c>
      <c r="AD122">
        <v>0</v>
      </c>
      <c r="AE122">
        <v>6.79</v>
      </c>
      <c r="AF122">
        <v>0</v>
      </c>
      <c r="AG122">
        <v>0</v>
      </c>
      <c r="AH122">
        <v>0</v>
      </c>
      <c r="AI122">
        <v>4.87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20</v>
      </c>
      <c r="AV122">
        <v>0</v>
      </c>
      <c r="AW122">
        <v>2</v>
      </c>
      <c r="AX122">
        <v>45926952</v>
      </c>
      <c r="AY122">
        <v>1</v>
      </c>
      <c r="AZ122">
        <v>0</v>
      </c>
      <c r="BA122">
        <v>120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Y122*Source!I43</f>
        <v>2</v>
      </c>
      <c r="CY122">
        <f t="shared" si="12"/>
        <v>33.07</v>
      </c>
      <c r="CZ122">
        <f t="shared" si="13"/>
        <v>6.79</v>
      </c>
      <c r="DA122">
        <f t="shared" si="14"/>
        <v>4.87</v>
      </c>
      <c r="DB122">
        <v>0</v>
      </c>
    </row>
    <row r="123" spans="1:106" ht="12.75">
      <c r="A123">
        <f>ROW(Source!A44)</f>
        <v>44</v>
      </c>
      <c r="B123">
        <v>45926640</v>
      </c>
      <c r="C123">
        <v>45930119</v>
      </c>
      <c r="D123">
        <v>13669568</v>
      </c>
      <c r="E123">
        <v>1</v>
      </c>
      <c r="F123">
        <v>1</v>
      </c>
      <c r="G123">
        <v>1</v>
      </c>
      <c r="H123">
        <v>1</v>
      </c>
      <c r="I123" t="s">
        <v>532</v>
      </c>
      <c r="K123" t="s">
        <v>533</v>
      </c>
      <c r="L123">
        <v>1369</v>
      </c>
      <c r="N123">
        <v>1013</v>
      </c>
      <c r="O123" t="s">
        <v>335</v>
      </c>
      <c r="P123" t="s">
        <v>335</v>
      </c>
      <c r="Q123">
        <v>1</v>
      </c>
      <c r="W123">
        <v>0</v>
      </c>
      <c r="X123">
        <v>-1739886638</v>
      </c>
      <c r="Y123">
        <v>24.897499999999997</v>
      </c>
      <c r="AA123">
        <v>0</v>
      </c>
      <c r="AB123">
        <v>0</v>
      </c>
      <c r="AC123">
        <v>0</v>
      </c>
      <c r="AD123">
        <v>9.62</v>
      </c>
      <c r="AE123">
        <v>0</v>
      </c>
      <c r="AF123">
        <v>0</v>
      </c>
      <c r="AG123">
        <v>0</v>
      </c>
      <c r="AH123">
        <v>9.62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21.65</v>
      </c>
      <c r="AU123" t="s">
        <v>20</v>
      </c>
      <c r="AV123">
        <v>1</v>
      </c>
      <c r="AW123">
        <v>2</v>
      </c>
      <c r="AX123">
        <v>45930135</v>
      </c>
      <c r="AY123">
        <v>1</v>
      </c>
      <c r="AZ123">
        <v>0</v>
      </c>
      <c r="BA123">
        <v>121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Y123*Source!I44</f>
        <v>4.9795</v>
      </c>
      <c r="CY123">
        <f>AD123</f>
        <v>9.62</v>
      </c>
      <c r="CZ123">
        <f>AH123</f>
        <v>9.62</v>
      </c>
      <c r="DA123">
        <f>AL123</f>
        <v>1</v>
      </c>
      <c r="DB123">
        <v>0</v>
      </c>
    </row>
    <row r="124" spans="1:106" ht="12.75">
      <c r="A124">
        <f>ROW(Source!A44)</f>
        <v>44</v>
      </c>
      <c r="B124">
        <v>45926640</v>
      </c>
      <c r="C124">
        <v>45930119</v>
      </c>
      <c r="D124">
        <v>121548</v>
      </c>
      <c r="E124">
        <v>1</v>
      </c>
      <c r="F124">
        <v>1</v>
      </c>
      <c r="G124">
        <v>1</v>
      </c>
      <c r="H124">
        <v>1</v>
      </c>
      <c r="I124" t="s">
        <v>32</v>
      </c>
      <c r="K124" t="s">
        <v>336</v>
      </c>
      <c r="L124">
        <v>608254</v>
      </c>
      <c r="N124">
        <v>1013</v>
      </c>
      <c r="O124" t="s">
        <v>337</v>
      </c>
      <c r="P124" t="s">
        <v>337</v>
      </c>
      <c r="Q124">
        <v>1</v>
      </c>
      <c r="W124">
        <v>0</v>
      </c>
      <c r="X124">
        <v>-185737400</v>
      </c>
      <c r="Y124">
        <v>0.1625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0.13</v>
      </c>
      <c r="AU124" t="s">
        <v>19</v>
      </c>
      <c r="AV124">
        <v>2</v>
      </c>
      <c r="AW124">
        <v>2</v>
      </c>
      <c r="AX124">
        <v>45930136</v>
      </c>
      <c r="AY124">
        <v>1</v>
      </c>
      <c r="AZ124">
        <v>0</v>
      </c>
      <c r="BA124">
        <v>122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Y124*Source!I44</f>
        <v>0.0325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ht="12.75">
      <c r="A125">
        <f>ROW(Source!A44)</f>
        <v>44</v>
      </c>
      <c r="B125">
        <v>45926640</v>
      </c>
      <c r="C125">
        <v>45930119</v>
      </c>
      <c r="D125">
        <v>13614407</v>
      </c>
      <c r="E125">
        <v>1</v>
      </c>
      <c r="F125">
        <v>1</v>
      </c>
      <c r="G125">
        <v>1</v>
      </c>
      <c r="H125">
        <v>2</v>
      </c>
      <c r="I125" t="s">
        <v>440</v>
      </c>
      <c r="J125" t="s">
        <v>576</v>
      </c>
      <c r="K125" t="s">
        <v>442</v>
      </c>
      <c r="L125">
        <v>1368</v>
      </c>
      <c r="N125">
        <v>1011</v>
      </c>
      <c r="O125" t="s">
        <v>341</v>
      </c>
      <c r="P125" t="s">
        <v>341</v>
      </c>
      <c r="Q125">
        <v>1</v>
      </c>
      <c r="W125">
        <v>0</v>
      </c>
      <c r="X125">
        <v>-119528662</v>
      </c>
      <c r="Y125">
        <v>0.1625</v>
      </c>
      <c r="AA125">
        <v>0</v>
      </c>
      <c r="AB125">
        <v>31.26</v>
      </c>
      <c r="AC125">
        <v>11.6</v>
      </c>
      <c r="AD125">
        <v>0</v>
      </c>
      <c r="AE125">
        <v>0</v>
      </c>
      <c r="AF125">
        <v>31.26</v>
      </c>
      <c r="AG125">
        <v>11.6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0.13</v>
      </c>
      <c r="AU125" t="s">
        <v>19</v>
      </c>
      <c r="AV125">
        <v>0</v>
      </c>
      <c r="AW125">
        <v>2</v>
      </c>
      <c r="AX125">
        <v>45930137</v>
      </c>
      <c r="AY125">
        <v>1</v>
      </c>
      <c r="AZ125">
        <v>0</v>
      </c>
      <c r="BA125">
        <v>123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Y125*Source!I44</f>
        <v>0.0325</v>
      </c>
      <c r="CY125">
        <f>AB125</f>
        <v>31.26</v>
      </c>
      <c r="CZ125">
        <f>AF125</f>
        <v>31.26</v>
      </c>
      <c r="DA125">
        <f>AJ125</f>
        <v>1</v>
      </c>
      <c r="DB125">
        <v>0</v>
      </c>
    </row>
    <row r="126" spans="1:106" ht="12.75">
      <c r="A126">
        <f>ROW(Source!A44)</f>
        <v>44</v>
      </c>
      <c r="B126">
        <v>45926640</v>
      </c>
      <c r="C126">
        <v>45930119</v>
      </c>
      <c r="D126">
        <v>13615709</v>
      </c>
      <c r="E126">
        <v>1</v>
      </c>
      <c r="F126">
        <v>1</v>
      </c>
      <c r="G126">
        <v>1</v>
      </c>
      <c r="H126">
        <v>2</v>
      </c>
      <c r="I126" t="s">
        <v>496</v>
      </c>
      <c r="J126" t="s">
        <v>577</v>
      </c>
      <c r="K126" t="s">
        <v>498</v>
      </c>
      <c r="L126">
        <v>1368</v>
      </c>
      <c r="N126">
        <v>1011</v>
      </c>
      <c r="O126" t="s">
        <v>341</v>
      </c>
      <c r="P126" t="s">
        <v>341</v>
      </c>
      <c r="Q126">
        <v>1</v>
      </c>
      <c r="W126">
        <v>0</v>
      </c>
      <c r="X126">
        <v>1455847876</v>
      </c>
      <c r="Y126">
        <v>0.25</v>
      </c>
      <c r="AA126">
        <v>0</v>
      </c>
      <c r="AB126">
        <v>1.95</v>
      </c>
      <c r="AC126">
        <v>0</v>
      </c>
      <c r="AD126">
        <v>0</v>
      </c>
      <c r="AE126">
        <v>0</v>
      </c>
      <c r="AF126">
        <v>1.95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0.2</v>
      </c>
      <c r="AU126" t="s">
        <v>19</v>
      </c>
      <c r="AV126">
        <v>0</v>
      </c>
      <c r="AW126">
        <v>2</v>
      </c>
      <c r="AX126">
        <v>45930138</v>
      </c>
      <c r="AY126">
        <v>1</v>
      </c>
      <c r="AZ126">
        <v>0</v>
      </c>
      <c r="BA126">
        <v>124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Y126*Source!I44</f>
        <v>0.05</v>
      </c>
      <c r="CY126">
        <f>AB126</f>
        <v>1.95</v>
      </c>
      <c r="CZ126">
        <f>AF126</f>
        <v>1.95</v>
      </c>
      <c r="DA126">
        <f>AJ126</f>
        <v>1</v>
      </c>
      <c r="DB126">
        <v>0</v>
      </c>
    </row>
    <row r="127" spans="1:106" ht="12.75">
      <c r="A127">
        <f>ROW(Source!A44)</f>
        <v>44</v>
      </c>
      <c r="B127">
        <v>45926640</v>
      </c>
      <c r="C127">
        <v>45930119</v>
      </c>
      <c r="D127">
        <v>13616013</v>
      </c>
      <c r="E127">
        <v>1</v>
      </c>
      <c r="F127">
        <v>1</v>
      </c>
      <c r="G127">
        <v>1</v>
      </c>
      <c r="H127">
        <v>2</v>
      </c>
      <c r="I127" t="s">
        <v>400</v>
      </c>
      <c r="J127" t="s">
        <v>578</v>
      </c>
      <c r="K127" t="s">
        <v>402</v>
      </c>
      <c r="L127">
        <v>1368</v>
      </c>
      <c r="N127">
        <v>1011</v>
      </c>
      <c r="O127" t="s">
        <v>341</v>
      </c>
      <c r="P127" t="s">
        <v>341</v>
      </c>
      <c r="Q127">
        <v>1</v>
      </c>
      <c r="W127">
        <v>0</v>
      </c>
      <c r="X127">
        <v>192342158</v>
      </c>
      <c r="Y127">
        <v>0.275</v>
      </c>
      <c r="AA127">
        <v>0</v>
      </c>
      <c r="AB127">
        <v>87.17</v>
      </c>
      <c r="AC127">
        <v>11.6</v>
      </c>
      <c r="AD127">
        <v>0</v>
      </c>
      <c r="AE127">
        <v>0</v>
      </c>
      <c r="AF127">
        <v>87.17</v>
      </c>
      <c r="AG127">
        <v>11.6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0.22</v>
      </c>
      <c r="AU127" t="s">
        <v>19</v>
      </c>
      <c r="AV127">
        <v>0</v>
      </c>
      <c r="AW127">
        <v>2</v>
      </c>
      <c r="AX127">
        <v>45930139</v>
      </c>
      <c r="AY127">
        <v>1</v>
      </c>
      <c r="AZ127">
        <v>0</v>
      </c>
      <c r="BA127">
        <v>125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Y127*Source!I44</f>
        <v>0.05500000000000001</v>
      </c>
      <c r="CY127">
        <f>AB127</f>
        <v>87.17</v>
      </c>
      <c r="CZ127">
        <f>AF127</f>
        <v>87.17</v>
      </c>
      <c r="DA127">
        <f>AJ127</f>
        <v>1</v>
      </c>
      <c r="DB127">
        <v>0</v>
      </c>
    </row>
    <row r="128" spans="1:106" ht="12.75">
      <c r="A128">
        <f>ROW(Source!A44)</f>
        <v>44</v>
      </c>
      <c r="B128">
        <v>45926640</v>
      </c>
      <c r="C128">
        <v>45930119</v>
      </c>
      <c r="D128">
        <v>13617019</v>
      </c>
      <c r="E128">
        <v>1</v>
      </c>
      <c r="F128">
        <v>1</v>
      </c>
      <c r="G128">
        <v>1</v>
      </c>
      <c r="H128">
        <v>3</v>
      </c>
      <c r="I128" t="s">
        <v>537</v>
      </c>
      <c r="J128" t="s">
        <v>579</v>
      </c>
      <c r="K128" t="s">
        <v>539</v>
      </c>
      <c r="L128">
        <v>1348</v>
      </c>
      <c r="N128">
        <v>1009</v>
      </c>
      <c r="O128" t="s">
        <v>406</v>
      </c>
      <c r="P128" t="s">
        <v>406</v>
      </c>
      <c r="Q128">
        <v>1000</v>
      </c>
      <c r="W128">
        <v>0</v>
      </c>
      <c r="X128">
        <v>-2022943113</v>
      </c>
      <c r="Y128">
        <v>0.0004</v>
      </c>
      <c r="AA128">
        <v>15118.99</v>
      </c>
      <c r="AB128">
        <v>0</v>
      </c>
      <c r="AC128">
        <v>0</v>
      </c>
      <c r="AD128">
        <v>0</v>
      </c>
      <c r="AE128">
        <v>15118.99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0.0004</v>
      </c>
      <c r="AV128">
        <v>0</v>
      </c>
      <c r="AW128">
        <v>2</v>
      </c>
      <c r="AX128">
        <v>45930140</v>
      </c>
      <c r="AY128">
        <v>1</v>
      </c>
      <c r="AZ128">
        <v>0</v>
      </c>
      <c r="BA128">
        <v>126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Y128*Source!I44</f>
        <v>8E-05</v>
      </c>
      <c r="CY128">
        <f aca="true" t="shared" si="15" ref="CY128:CY137">AA128</f>
        <v>15118.99</v>
      </c>
      <c r="CZ128">
        <f aca="true" t="shared" si="16" ref="CZ128:CZ137">AE128</f>
        <v>15118.99</v>
      </c>
      <c r="DA128">
        <f aca="true" t="shared" si="17" ref="DA128:DA137">AI128</f>
        <v>1</v>
      </c>
      <c r="DB128">
        <v>0</v>
      </c>
    </row>
    <row r="129" spans="1:106" ht="12.75">
      <c r="A129">
        <f>ROW(Source!A44)</f>
        <v>44</v>
      </c>
      <c r="B129">
        <v>45926640</v>
      </c>
      <c r="C129">
        <v>45930119</v>
      </c>
      <c r="D129">
        <v>13617149</v>
      </c>
      <c r="E129">
        <v>1</v>
      </c>
      <c r="F129">
        <v>1</v>
      </c>
      <c r="G129">
        <v>1</v>
      </c>
      <c r="H129">
        <v>3</v>
      </c>
      <c r="I129" t="s">
        <v>540</v>
      </c>
      <c r="J129" t="s">
        <v>580</v>
      </c>
      <c r="K129" t="s">
        <v>542</v>
      </c>
      <c r="L129">
        <v>1348</v>
      </c>
      <c r="N129">
        <v>1009</v>
      </c>
      <c r="O129" t="s">
        <v>406</v>
      </c>
      <c r="P129" t="s">
        <v>406</v>
      </c>
      <c r="Q129">
        <v>1000</v>
      </c>
      <c r="W129">
        <v>0</v>
      </c>
      <c r="X129">
        <v>1375994804</v>
      </c>
      <c r="Y129">
        <v>0.0002</v>
      </c>
      <c r="AA129">
        <v>16950</v>
      </c>
      <c r="AB129">
        <v>0</v>
      </c>
      <c r="AC129">
        <v>0</v>
      </c>
      <c r="AD129">
        <v>0</v>
      </c>
      <c r="AE129">
        <v>16950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T129">
        <v>0.0002</v>
      </c>
      <c r="AV129">
        <v>0</v>
      </c>
      <c r="AW129">
        <v>2</v>
      </c>
      <c r="AX129">
        <v>45930141</v>
      </c>
      <c r="AY129">
        <v>1</v>
      </c>
      <c r="AZ129">
        <v>0</v>
      </c>
      <c r="BA129">
        <v>127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Y129*Source!I44</f>
        <v>4E-05</v>
      </c>
      <c r="CY129">
        <f t="shared" si="15"/>
        <v>16950</v>
      </c>
      <c r="CZ129">
        <f t="shared" si="16"/>
        <v>16950</v>
      </c>
      <c r="DA129">
        <f t="shared" si="17"/>
        <v>1</v>
      </c>
      <c r="DB129">
        <v>0</v>
      </c>
    </row>
    <row r="130" spans="1:106" ht="12.75">
      <c r="A130">
        <f>ROW(Source!A44)</f>
        <v>44</v>
      </c>
      <c r="B130">
        <v>45926640</v>
      </c>
      <c r="C130">
        <v>45930119</v>
      </c>
      <c r="D130">
        <v>13617177</v>
      </c>
      <c r="E130">
        <v>1</v>
      </c>
      <c r="F130">
        <v>1</v>
      </c>
      <c r="G130">
        <v>1</v>
      </c>
      <c r="H130">
        <v>3</v>
      </c>
      <c r="I130" t="s">
        <v>581</v>
      </c>
      <c r="J130" t="s">
        <v>582</v>
      </c>
      <c r="K130" t="s">
        <v>583</v>
      </c>
      <c r="L130">
        <v>1348</v>
      </c>
      <c r="N130">
        <v>1009</v>
      </c>
      <c r="O130" t="s">
        <v>406</v>
      </c>
      <c r="P130" t="s">
        <v>406</v>
      </c>
      <c r="Q130">
        <v>1000</v>
      </c>
      <c r="W130">
        <v>0</v>
      </c>
      <c r="X130">
        <v>1778922764</v>
      </c>
      <c r="Y130">
        <v>0.0036</v>
      </c>
      <c r="AA130">
        <v>5989</v>
      </c>
      <c r="AB130">
        <v>0</v>
      </c>
      <c r="AC130">
        <v>0</v>
      </c>
      <c r="AD130">
        <v>0</v>
      </c>
      <c r="AE130">
        <v>5989</v>
      </c>
      <c r="AF130">
        <v>0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0.0036</v>
      </c>
      <c r="AV130">
        <v>0</v>
      </c>
      <c r="AW130">
        <v>2</v>
      </c>
      <c r="AX130">
        <v>45930142</v>
      </c>
      <c r="AY130">
        <v>1</v>
      </c>
      <c r="AZ130">
        <v>0</v>
      </c>
      <c r="BA130">
        <v>128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Y130*Source!I44</f>
        <v>0.00072</v>
      </c>
      <c r="CY130">
        <f t="shared" si="15"/>
        <v>5989</v>
      </c>
      <c r="CZ130">
        <f t="shared" si="16"/>
        <v>5989</v>
      </c>
      <c r="DA130">
        <f t="shared" si="17"/>
        <v>1</v>
      </c>
      <c r="DB130">
        <v>0</v>
      </c>
    </row>
    <row r="131" spans="1:106" ht="12.75">
      <c r="A131">
        <f>ROW(Source!A44)</f>
        <v>44</v>
      </c>
      <c r="B131">
        <v>45926640</v>
      </c>
      <c r="C131">
        <v>45930119</v>
      </c>
      <c r="D131">
        <v>13617832</v>
      </c>
      <c r="E131">
        <v>1</v>
      </c>
      <c r="F131">
        <v>1</v>
      </c>
      <c r="G131">
        <v>1</v>
      </c>
      <c r="H131">
        <v>3</v>
      </c>
      <c r="I131" t="s">
        <v>546</v>
      </c>
      <c r="J131" t="s">
        <v>584</v>
      </c>
      <c r="K131" t="s">
        <v>548</v>
      </c>
      <c r="L131">
        <v>1346</v>
      </c>
      <c r="N131">
        <v>1009</v>
      </c>
      <c r="O131" t="s">
        <v>351</v>
      </c>
      <c r="P131" t="s">
        <v>351</v>
      </c>
      <c r="Q131">
        <v>1</v>
      </c>
      <c r="W131">
        <v>0</v>
      </c>
      <c r="X131">
        <v>-1536441554</v>
      </c>
      <c r="Y131">
        <v>0.3</v>
      </c>
      <c r="AA131">
        <v>37.29</v>
      </c>
      <c r="AB131">
        <v>0</v>
      </c>
      <c r="AC131">
        <v>0</v>
      </c>
      <c r="AD131">
        <v>0</v>
      </c>
      <c r="AE131">
        <v>37.29</v>
      </c>
      <c r="AF131">
        <v>0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0.3</v>
      </c>
      <c r="AV131">
        <v>0</v>
      </c>
      <c r="AW131">
        <v>2</v>
      </c>
      <c r="AX131">
        <v>45930143</v>
      </c>
      <c r="AY131">
        <v>1</v>
      </c>
      <c r="AZ131">
        <v>0</v>
      </c>
      <c r="BA131">
        <v>129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Y131*Source!I44</f>
        <v>0.06</v>
      </c>
      <c r="CY131">
        <f t="shared" si="15"/>
        <v>37.29</v>
      </c>
      <c r="CZ131">
        <f t="shared" si="16"/>
        <v>37.29</v>
      </c>
      <c r="DA131">
        <f t="shared" si="17"/>
        <v>1</v>
      </c>
      <c r="DB131">
        <v>0</v>
      </c>
    </row>
    <row r="132" spans="1:106" ht="12.75">
      <c r="A132">
        <f>ROW(Source!A44)</f>
        <v>44</v>
      </c>
      <c r="B132">
        <v>45926640</v>
      </c>
      <c r="C132">
        <v>45930119</v>
      </c>
      <c r="D132">
        <v>13617990</v>
      </c>
      <c r="E132">
        <v>1</v>
      </c>
      <c r="F132">
        <v>1</v>
      </c>
      <c r="G132">
        <v>1</v>
      </c>
      <c r="H132">
        <v>3</v>
      </c>
      <c r="I132" t="s">
        <v>557</v>
      </c>
      <c r="J132" t="s">
        <v>585</v>
      </c>
      <c r="K132" t="s">
        <v>559</v>
      </c>
      <c r="L132">
        <v>1346</v>
      </c>
      <c r="N132">
        <v>1009</v>
      </c>
      <c r="O132" t="s">
        <v>351</v>
      </c>
      <c r="P132" t="s">
        <v>351</v>
      </c>
      <c r="Q132">
        <v>1</v>
      </c>
      <c r="W132">
        <v>0</v>
      </c>
      <c r="X132">
        <v>-986228455</v>
      </c>
      <c r="Y132">
        <v>2</v>
      </c>
      <c r="AA132">
        <v>9.61</v>
      </c>
      <c r="AB132">
        <v>0</v>
      </c>
      <c r="AC132">
        <v>0</v>
      </c>
      <c r="AD132">
        <v>0</v>
      </c>
      <c r="AE132">
        <v>9.61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2</v>
      </c>
      <c r="AV132">
        <v>0</v>
      </c>
      <c r="AW132">
        <v>2</v>
      </c>
      <c r="AX132">
        <v>45930144</v>
      </c>
      <c r="AY132">
        <v>1</v>
      </c>
      <c r="AZ132">
        <v>0</v>
      </c>
      <c r="BA132">
        <v>130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Y132*Source!I44</f>
        <v>0.4</v>
      </c>
      <c r="CY132">
        <f t="shared" si="15"/>
        <v>9.61</v>
      </c>
      <c r="CZ132">
        <f t="shared" si="16"/>
        <v>9.61</v>
      </c>
      <c r="DA132">
        <f t="shared" si="17"/>
        <v>1</v>
      </c>
      <c r="DB132">
        <v>0</v>
      </c>
    </row>
    <row r="133" spans="1:106" ht="12.75">
      <c r="A133">
        <f>ROW(Source!A44)</f>
        <v>44</v>
      </c>
      <c r="B133">
        <v>45926640</v>
      </c>
      <c r="C133">
        <v>45930119</v>
      </c>
      <c r="D133">
        <v>13618279</v>
      </c>
      <c r="E133">
        <v>1</v>
      </c>
      <c r="F133">
        <v>1</v>
      </c>
      <c r="G133">
        <v>1</v>
      </c>
      <c r="H133">
        <v>3</v>
      </c>
      <c r="I133" t="s">
        <v>586</v>
      </c>
      <c r="J133" t="s">
        <v>587</v>
      </c>
      <c r="K133" t="s">
        <v>588</v>
      </c>
      <c r="L133">
        <v>1348</v>
      </c>
      <c r="N133">
        <v>1009</v>
      </c>
      <c r="O133" t="s">
        <v>406</v>
      </c>
      <c r="P133" t="s">
        <v>406</v>
      </c>
      <c r="Q133">
        <v>1000</v>
      </c>
      <c r="W133">
        <v>0</v>
      </c>
      <c r="X133">
        <v>-777355565</v>
      </c>
      <c r="Y133">
        <v>0.0007</v>
      </c>
      <c r="AA133">
        <v>11350</v>
      </c>
      <c r="AB133">
        <v>0</v>
      </c>
      <c r="AC133">
        <v>0</v>
      </c>
      <c r="AD133">
        <v>0</v>
      </c>
      <c r="AE133">
        <v>11350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0.0007</v>
      </c>
      <c r="AV133">
        <v>0</v>
      </c>
      <c r="AW133">
        <v>2</v>
      </c>
      <c r="AX133">
        <v>45930145</v>
      </c>
      <c r="AY133">
        <v>1</v>
      </c>
      <c r="AZ133">
        <v>0</v>
      </c>
      <c r="BA133">
        <v>131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Y133*Source!I44</f>
        <v>0.00014000000000000001</v>
      </c>
      <c r="CY133">
        <f t="shared" si="15"/>
        <v>11350</v>
      </c>
      <c r="CZ133">
        <f t="shared" si="16"/>
        <v>11350</v>
      </c>
      <c r="DA133">
        <f t="shared" si="17"/>
        <v>1</v>
      </c>
      <c r="DB133">
        <v>0</v>
      </c>
    </row>
    <row r="134" spans="1:106" ht="12.75">
      <c r="A134">
        <f>ROW(Source!A44)</f>
        <v>44</v>
      </c>
      <c r="B134">
        <v>45926640</v>
      </c>
      <c r="C134">
        <v>45930119</v>
      </c>
      <c r="D134">
        <v>13618297</v>
      </c>
      <c r="E134">
        <v>1</v>
      </c>
      <c r="F134">
        <v>1</v>
      </c>
      <c r="G134">
        <v>1</v>
      </c>
      <c r="H134">
        <v>3</v>
      </c>
      <c r="I134" t="s">
        <v>589</v>
      </c>
      <c r="J134" t="s">
        <v>590</v>
      </c>
      <c r="K134" t="s">
        <v>591</v>
      </c>
      <c r="L134">
        <v>1358</v>
      </c>
      <c r="N134">
        <v>1010</v>
      </c>
      <c r="O134" t="s">
        <v>142</v>
      </c>
      <c r="P134" t="s">
        <v>142</v>
      </c>
      <c r="Q134">
        <v>10</v>
      </c>
      <c r="W134">
        <v>0</v>
      </c>
      <c r="X134">
        <v>454789351</v>
      </c>
      <c r="Y134">
        <v>4</v>
      </c>
      <c r="AA134">
        <v>2</v>
      </c>
      <c r="AB134">
        <v>0</v>
      </c>
      <c r="AC134">
        <v>0</v>
      </c>
      <c r="AD134">
        <v>0</v>
      </c>
      <c r="AE134">
        <v>2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4</v>
      </c>
      <c r="AV134">
        <v>0</v>
      </c>
      <c r="AW134">
        <v>2</v>
      </c>
      <c r="AX134">
        <v>45930146</v>
      </c>
      <c r="AY134">
        <v>1</v>
      </c>
      <c r="AZ134">
        <v>0</v>
      </c>
      <c r="BA134">
        <v>132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Y134*Source!I44</f>
        <v>0.8</v>
      </c>
      <c r="CY134">
        <f t="shared" si="15"/>
        <v>2</v>
      </c>
      <c r="CZ134">
        <f t="shared" si="16"/>
        <v>2</v>
      </c>
      <c r="DA134">
        <f t="shared" si="17"/>
        <v>1</v>
      </c>
      <c r="DB134">
        <v>0</v>
      </c>
    </row>
    <row r="135" spans="1:106" ht="12.75">
      <c r="A135">
        <f>ROW(Source!A44)</f>
        <v>44</v>
      </c>
      <c r="B135">
        <v>45926640</v>
      </c>
      <c r="C135">
        <v>45930119</v>
      </c>
      <c r="D135">
        <v>31053272</v>
      </c>
      <c r="E135">
        <v>1</v>
      </c>
      <c r="F135">
        <v>1</v>
      </c>
      <c r="G135">
        <v>1</v>
      </c>
      <c r="H135">
        <v>3</v>
      </c>
      <c r="I135" t="s">
        <v>131</v>
      </c>
      <c r="J135" t="s">
        <v>134</v>
      </c>
      <c r="K135" t="s">
        <v>132</v>
      </c>
      <c r="L135">
        <v>1354</v>
      </c>
      <c r="N135">
        <v>1010</v>
      </c>
      <c r="O135" t="s">
        <v>133</v>
      </c>
      <c r="P135" t="s">
        <v>133</v>
      </c>
      <c r="Q135">
        <v>1</v>
      </c>
      <c r="W135">
        <v>0</v>
      </c>
      <c r="X135">
        <v>-208459179</v>
      </c>
      <c r="Y135">
        <v>10</v>
      </c>
      <c r="AA135">
        <v>1649.55</v>
      </c>
      <c r="AB135">
        <v>0</v>
      </c>
      <c r="AC135">
        <v>0</v>
      </c>
      <c r="AD135">
        <v>0</v>
      </c>
      <c r="AE135">
        <v>1649.55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10</v>
      </c>
      <c r="AV135">
        <v>0</v>
      </c>
      <c r="AW135">
        <v>1</v>
      </c>
      <c r="AX135">
        <v>-1</v>
      </c>
      <c r="AY135">
        <v>0</v>
      </c>
      <c r="AZ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Y135*Source!I44</f>
        <v>2</v>
      </c>
      <c r="CY135">
        <f t="shared" si="15"/>
        <v>1649.55</v>
      </c>
      <c r="CZ135">
        <f t="shared" si="16"/>
        <v>1649.55</v>
      </c>
      <c r="DA135">
        <f t="shared" si="17"/>
        <v>1</v>
      </c>
      <c r="DB135">
        <v>0</v>
      </c>
    </row>
    <row r="136" spans="1:106" ht="12.75">
      <c r="A136">
        <f>ROW(Source!A44)</f>
        <v>44</v>
      </c>
      <c r="B136">
        <v>45926640</v>
      </c>
      <c r="C136">
        <v>45930119</v>
      </c>
      <c r="D136">
        <v>31053278</v>
      </c>
      <c r="E136">
        <v>1</v>
      </c>
      <c r="F136">
        <v>1</v>
      </c>
      <c r="G136">
        <v>1</v>
      </c>
      <c r="H136">
        <v>3</v>
      </c>
      <c r="I136" t="s">
        <v>136</v>
      </c>
      <c r="J136" t="s">
        <v>138</v>
      </c>
      <c r="K136" t="s">
        <v>137</v>
      </c>
      <c r="L136">
        <v>1354</v>
      </c>
      <c r="N136">
        <v>1010</v>
      </c>
      <c r="O136" t="s">
        <v>133</v>
      </c>
      <c r="P136" t="s">
        <v>133</v>
      </c>
      <c r="Q136">
        <v>1</v>
      </c>
      <c r="W136">
        <v>0</v>
      </c>
      <c r="X136">
        <v>-734146123</v>
      </c>
      <c r="Y136">
        <v>10</v>
      </c>
      <c r="AA136">
        <v>691.03</v>
      </c>
      <c r="AB136">
        <v>0</v>
      </c>
      <c r="AC136">
        <v>0</v>
      </c>
      <c r="AD136">
        <v>0</v>
      </c>
      <c r="AE136">
        <v>691.03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0</v>
      </c>
      <c r="AR136">
        <v>0</v>
      </c>
      <c r="AT136">
        <v>10</v>
      </c>
      <c r="AV136">
        <v>0</v>
      </c>
      <c r="AW136">
        <v>1</v>
      </c>
      <c r="AX136">
        <v>-1</v>
      </c>
      <c r="AY136">
        <v>0</v>
      </c>
      <c r="AZ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Y136*Source!I44</f>
        <v>2</v>
      </c>
      <c r="CY136">
        <f t="shared" si="15"/>
        <v>691.03</v>
      </c>
      <c r="CZ136">
        <f t="shared" si="16"/>
        <v>691.03</v>
      </c>
      <c r="DA136">
        <f t="shared" si="17"/>
        <v>1</v>
      </c>
      <c r="DB136">
        <v>0</v>
      </c>
    </row>
    <row r="137" spans="1:106" ht="12.75">
      <c r="A137">
        <f>ROW(Source!A44)</f>
        <v>44</v>
      </c>
      <c r="B137">
        <v>45926640</v>
      </c>
      <c r="C137">
        <v>45930119</v>
      </c>
      <c r="D137">
        <v>13629102</v>
      </c>
      <c r="E137">
        <v>1</v>
      </c>
      <c r="F137">
        <v>1</v>
      </c>
      <c r="G137">
        <v>1</v>
      </c>
      <c r="H137">
        <v>3</v>
      </c>
      <c r="I137" t="s">
        <v>127</v>
      </c>
      <c r="J137" t="s">
        <v>129</v>
      </c>
      <c r="K137" t="s">
        <v>128</v>
      </c>
      <c r="L137">
        <v>1035</v>
      </c>
      <c r="N137">
        <v>1013</v>
      </c>
      <c r="O137" t="s">
        <v>44</v>
      </c>
      <c r="P137" t="s">
        <v>44</v>
      </c>
      <c r="Q137">
        <v>1</v>
      </c>
      <c r="W137">
        <v>0</v>
      </c>
      <c r="X137">
        <v>-43138101</v>
      </c>
      <c r="Y137">
        <v>-10</v>
      </c>
      <c r="AA137">
        <v>1489.8</v>
      </c>
      <c r="AB137">
        <v>0</v>
      </c>
      <c r="AC137">
        <v>0</v>
      </c>
      <c r="AD137">
        <v>0</v>
      </c>
      <c r="AE137">
        <v>130</v>
      </c>
      <c r="AF137">
        <v>0</v>
      </c>
      <c r="AG137">
        <v>0</v>
      </c>
      <c r="AH137">
        <v>0</v>
      </c>
      <c r="AI137">
        <v>11.46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-10</v>
      </c>
      <c r="AV137">
        <v>0</v>
      </c>
      <c r="AW137">
        <v>2</v>
      </c>
      <c r="AX137">
        <v>45930147</v>
      </c>
      <c r="AY137">
        <v>1</v>
      </c>
      <c r="AZ137">
        <v>6144</v>
      </c>
      <c r="BA137">
        <v>133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Y137*Source!I44</f>
        <v>-2</v>
      </c>
      <c r="CY137">
        <f t="shared" si="15"/>
        <v>1489.8</v>
      </c>
      <c r="CZ137">
        <f t="shared" si="16"/>
        <v>130</v>
      </c>
      <c r="DA137">
        <f t="shared" si="17"/>
        <v>11.46</v>
      </c>
      <c r="DB137">
        <v>0</v>
      </c>
    </row>
    <row r="138" spans="1:106" ht="12.75">
      <c r="A138">
        <f>ROW(Source!A48)</f>
        <v>48</v>
      </c>
      <c r="B138">
        <v>45926640</v>
      </c>
      <c r="C138">
        <v>45926980</v>
      </c>
      <c r="D138">
        <v>13669568</v>
      </c>
      <c r="E138">
        <v>1</v>
      </c>
      <c r="F138">
        <v>1</v>
      </c>
      <c r="G138">
        <v>1</v>
      </c>
      <c r="H138">
        <v>1</v>
      </c>
      <c r="I138" t="s">
        <v>532</v>
      </c>
      <c r="K138" t="s">
        <v>533</v>
      </c>
      <c r="L138">
        <v>1369</v>
      </c>
      <c r="N138">
        <v>1013</v>
      </c>
      <c r="O138" t="s">
        <v>335</v>
      </c>
      <c r="P138" t="s">
        <v>335</v>
      </c>
      <c r="Q138">
        <v>1</v>
      </c>
      <c r="W138">
        <v>0</v>
      </c>
      <c r="X138">
        <v>-1739886638</v>
      </c>
      <c r="Y138">
        <v>8.049999999999999</v>
      </c>
      <c r="AA138">
        <v>0</v>
      </c>
      <c r="AB138">
        <v>0</v>
      </c>
      <c r="AC138">
        <v>0</v>
      </c>
      <c r="AD138">
        <v>9.62</v>
      </c>
      <c r="AE138">
        <v>0</v>
      </c>
      <c r="AF138">
        <v>0</v>
      </c>
      <c r="AG138">
        <v>0</v>
      </c>
      <c r="AH138">
        <v>9.62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7</v>
      </c>
      <c r="AU138" t="s">
        <v>20</v>
      </c>
      <c r="AV138">
        <v>1</v>
      </c>
      <c r="AW138">
        <v>2</v>
      </c>
      <c r="AX138">
        <v>45926990</v>
      </c>
      <c r="AY138">
        <v>1</v>
      </c>
      <c r="AZ138">
        <v>0</v>
      </c>
      <c r="BA138">
        <v>134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Y138*Source!I48</f>
        <v>1.6099999999999999</v>
      </c>
      <c r="CY138">
        <f>AD138</f>
        <v>9.62</v>
      </c>
      <c r="CZ138">
        <f>AH138</f>
        <v>9.62</v>
      </c>
      <c r="DA138">
        <f>AL138</f>
        <v>1</v>
      </c>
      <c r="DB138">
        <v>0</v>
      </c>
    </row>
    <row r="139" spans="1:106" ht="12.75">
      <c r="A139">
        <f>ROW(Source!A48)</f>
        <v>48</v>
      </c>
      <c r="B139">
        <v>45926640</v>
      </c>
      <c r="C139">
        <v>45926980</v>
      </c>
      <c r="D139">
        <v>30684488</v>
      </c>
      <c r="E139">
        <v>1</v>
      </c>
      <c r="F139">
        <v>1</v>
      </c>
      <c r="G139">
        <v>1</v>
      </c>
      <c r="H139">
        <v>2</v>
      </c>
      <c r="I139" t="s">
        <v>496</v>
      </c>
      <c r="J139" t="s">
        <v>592</v>
      </c>
      <c r="K139" t="s">
        <v>498</v>
      </c>
      <c r="L139">
        <v>1368</v>
      </c>
      <c r="N139">
        <v>1011</v>
      </c>
      <c r="O139" t="s">
        <v>341</v>
      </c>
      <c r="P139" t="s">
        <v>341</v>
      </c>
      <c r="Q139">
        <v>1</v>
      </c>
      <c r="W139">
        <v>0</v>
      </c>
      <c r="X139">
        <v>-239831557</v>
      </c>
      <c r="Y139">
        <v>0.125</v>
      </c>
      <c r="AA139">
        <v>0</v>
      </c>
      <c r="AB139">
        <v>7.33</v>
      </c>
      <c r="AC139">
        <v>0</v>
      </c>
      <c r="AD139">
        <v>0</v>
      </c>
      <c r="AE139">
        <v>0</v>
      </c>
      <c r="AF139">
        <v>1.95</v>
      </c>
      <c r="AG139">
        <v>0</v>
      </c>
      <c r="AH139">
        <v>0</v>
      </c>
      <c r="AI139">
        <v>1</v>
      </c>
      <c r="AJ139">
        <v>3.76</v>
      </c>
      <c r="AK139">
        <v>31.7</v>
      </c>
      <c r="AL139">
        <v>1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0.1</v>
      </c>
      <c r="AU139" t="s">
        <v>19</v>
      </c>
      <c r="AV139">
        <v>0</v>
      </c>
      <c r="AW139">
        <v>2</v>
      </c>
      <c r="AX139">
        <v>45926991</v>
      </c>
      <c r="AY139">
        <v>1</v>
      </c>
      <c r="AZ139">
        <v>0</v>
      </c>
      <c r="BA139">
        <v>135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Y139*Source!I48</f>
        <v>0.025</v>
      </c>
      <c r="CY139">
        <f>AB139</f>
        <v>7.33</v>
      </c>
      <c r="CZ139">
        <f>AF139</f>
        <v>1.95</v>
      </c>
      <c r="DA139">
        <f>AJ139</f>
        <v>3.76</v>
      </c>
      <c r="DB139">
        <v>0</v>
      </c>
    </row>
    <row r="140" spans="1:106" ht="12.75">
      <c r="A140">
        <f>ROW(Source!A48)</f>
        <v>48</v>
      </c>
      <c r="B140">
        <v>45926640</v>
      </c>
      <c r="C140">
        <v>45926980</v>
      </c>
      <c r="D140">
        <v>30620385</v>
      </c>
      <c r="E140">
        <v>1</v>
      </c>
      <c r="F140">
        <v>1</v>
      </c>
      <c r="G140">
        <v>1</v>
      </c>
      <c r="H140">
        <v>3</v>
      </c>
      <c r="I140" t="s">
        <v>537</v>
      </c>
      <c r="J140" t="s">
        <v>593</v>
      </c>
      <c r="K140" t="s">
        <v>539</v>
      </c>
      <c r="L140">
        <v>1348</v>
      </c>
      <c r="N140">
        <v>1009</v>
      </c>
      <c r="O140" t="s">
        <v>406</v>
      </c>
      <c r="P140" t="s">
        <v>406</v>
      </c>
      <c r="Q140">
        <v>1000</v>
      </c>
      <c r="W140">
        <v>0</v>
      </c>
      <c r="X140">
        <v>-1693990939</v>
      </c>
      <c r="Y140">
        <v>0.00026</v>
      </c>
      <c r="AA140">
        <v>51858.14</v>
      </c>
      <c r="AB140">
        <v>0</v>
      </c>
      <c r="AC140">
        <v>0</v>
      </c>
      <c r="AD140">
        <v>0</v>
      </c>
      <c r="AE140">
        <v>15118.99</v>
      </c>
      <c r="AF140">
        <v>0</v>
      </c>
      <c r="AG140">
        <v>0</v>
      </c>
      <c r="AH140">
        <v>0</v>
      </c>
      <c r="AI140">
        <v>3.43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T140">
        <v>0.00026</v>
      </c>
      <c r="AV140">
        <v>0</v>
      </c>
      <c r="AW140">
        <v>2</v>
      </c>
      <c r="AX140">
        <v>45926992</v>
      </c>
      <c r="AY140">
        <v>1</v>
      </c>
      <c r="AZ140">
        <v>0</v>
      </c>
      <c r="BA140">
        <v>136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Y140*Source!I48</f>
        <v>5.2E-05</v>
      </c>
      <c r="CY140">
        <f aca="true" t="shared" si="18" ref="CY140:CY146">AA140</f>
        <v>51858.14</v>
      </c>
      <c r="CZ140">
        <f aca="true" t="shared" si="19" ref="CZ140:CZ146">AE140</f>
        <v>15118.99</v>
      </c>
      <c r="DA140">
        <f aca="true" t="shared" si="20" ref="DA140:DA146">AI140</f>
        <v>3.43</v>
      </c>
      <c r="DB140">
        <v>0</v>
      </c>
    </row>
    <row r="141" spans="1:106" ht="12.75">
      <c r="A141">
        <f>ROW(Source!A48)</f>
        <v>48</v>
      </c>
      <c r="B141">
        <v>45926640</v>
      </c>
      <c r="C141">
        <v>45926980</v>
      </c>
      <c r="D141">
        <v>30620560</v>
      </c>
      <c r="E141">
        <v>1</v>
      </c>
      <c r="F141">
        <v>1</v>
      </c>
      <c r="G141">
        <v>1</v>
      </c>
      <c r="H141">
        <v>3</v>
      </c>
      <c r="I141" t="s">
        <v>540</v>
      </c>
      <c r="J141" t="s">
        <v>594</v>
      </c>
      <c r="K141" t="s">
        <v>542</v>
      </c>
      <c r="L141">
        <v>1348</v>
      </c>
      <c r="N141">
        <v>1009</v>
      </c>
      <c r="O141" t="s">
        <v>406</v>
      </c>
      <c r="P141" t="s">
        <v>406</v>
      </c>
      <c r="Q141">
        <v>1000</v>
      </c>
      <c r="W141">
        <v>0</v>
      </c>
      <c r="X141">
        <v>-1393116995</v>
      </c>
      <c r="Y141">
        <v>0.00013</v>
      </c>
      <c r="AA141">
        <v>66613.5</v>
      </c>
      <c r="AB141">
        <v>0</v>
      </c>
      <c r="AC141">
        <v>0</v>
      </c>
      <c r="AD141">
        <v>0</v>
      </c>
      <c r="AE141">
        <v>16950</v>
      </c>
      <c r="AF141">
        <v>0</v>
      </c>
      <c r="AG141">
        <v>0</v>
      </c>
      <c r="AH141">
        <v>0</v>
      </c>
      <c r="AI141">
        <v>3.93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0.00013</v>
      </c>
      <c r="AV141">
        <v>0</v>
      </c>
      <c r="AW141">
        <v>2</v>
      </c>
      <c r="AX141">
        <v>45926993</v>
      </c>
      <c r="AY141">
        <v>1</v>
      </c>
      <c r="AZ141">
        <v>0</v>
      </c>
      <c r="BA141">
        <v>137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Y141*Source!I48</f>
        <v>2.6E-05</v>
      </c>
      <c r="CY141">
        <f t="shared" si="18"/>
        <v>66613.5</v>
      </c>
      <c r="CZ141">
        <f t="shared" si="19"/>
        <v>16950</v>
      </c>
      <c r="DA141">
        <f t="shared" si="20"/>
        <v>3.93</v>
      </c>
      <c r="DB141">
        <v>0</v>
      </c>
    </row>
    <row r="142" spans="1:106" ht="12.75">
      <c r="A142">
        <f>ROW(Source!A48)</f>
        <v>48</v>
      </c>
      <c r="B142">
        <v>45926640</v>
      </c>
      <c r="C142">
        <v>45926980</v>
      </c>
      <c r="D142">
        <v>30617950</v>
      </c>
      <c r="E142">
        <v>1</v>
      </c>
      <c r="F142">
        <v>1</v>
      </c>
      <c r="G142">
        <v>1</v>
      </c>
      <c r="H142">
        <v>3</v>
      </c>
      <c r="I142" t="s">
        <v>546</v>
      </c>
      <c r="J142" t="s">
        <v>595</v>
      </c>
      <c r="K142" t="s">
        <v>548</v>
      </c>
      <c r="L142">
        <v>1346</v>
      </c>
      <c r="N142">
        <v>1009</v>
      </c>
      <c r="O142" t="s">
        <v>351</v>
      </c>
      <c r="P142" t="s">
        <v>351</v>
      </c>
      <c r="Q142">
        <v>1</v>
      </c>
      <c r="W142">
        <v>0</v>
      </c>
      <c r="X142">
        <v>-319904754</v>
      </c>
      <c r="Y142">
        <v>0.13</v>
      </c>
      <c r="AA142">
        <v>77.56</v>
      </c>
      <c r="AB142">
        <v>0</v>
      </c>
      <c r="AC142">
        <v>0</v>
      </c>
      <c r="AD142">
        <v>0</v>
      </c>
      <c r="AE142">
        <v>37.29</v>
      </c>
      <c r="AF142">
        <v>0</v>
      </c>
      <c r="AG142">
        <v>0</v>
      </c>
      <c r="AH142">
        <v>0</v>
      </c>
      <c r="AI142">
        <v>2.08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0.13</v>
      </c>
      <c r="AV142">
        <v>0</v>
      </c>
      <c r="AW142">
        <v>2</v>
      </c>
      <c r="AX142">
        <v>45926994</v>
      </c>
      <c r="AY142">
        <v>1</v>
      </c>
      <c r="AZ142">
        <v>0</v>
      </c>
      <c r="BA142">
        <v>138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Y142*Source!I48</f>
        <v>0.026000000000000002</v>
      </c>
      <c r="CY142">
        <f t="shared" si="18"/>
        <v>77.56</v>
      </c>
      <c r="CZ142">
        <f t="shared" si="19"/>
        <v>37.29</v>
      </c>
      <c r="DA142">
        <f t="shared" si="20"/>
        <v>2.08</v>
      </c>
      <c r="DB142">
        <v>0</v>
      </c>
    </row>
    <row r="143" spans="1:106" ht="12.75">
      <c r="A143">
        <f>ROW(Source!A48)</f>
        <v>48</v>
      </c>
      <c r="B143">
        <v>45926640</v>
      </c>
      <c r="C143">
        <v>45926980</v>
      </c>
      <c r="D143">
        <v>30624676</v>
      </c>
      <c r="E143">
        <v>1</v>
      </c>
      <c r="F143">
        <v>1</v>
      </c>
      <c r="G143">
        <v>1</v>
      </c>
      <c r="H143">
        <v>3</v>
      </c>
      <c r="I143" t="s">
        <v>596</v>
      </c>
      <c r="J143" t="s">
        <v>597</v>
      </c>
      <c r="K143" t="s">
        <v>598</v>
      </c>
      <c r="L143">
        <v>1348</v>
      </c>
      <c r="N143">
        <v>1009</v>
      </c>
      <c r="O143" t="s">
        <v>406</v>
      </c>
      <c r="P143" t="s">
        <v>406</v>
      </c>
      <c r="Q143">
        <v>1000</v>
      </c>
      <c r="W143">
        <v>0</v>
      </c>
      <c r="X143">
        <v>-900326152</v>
      </c>
      <c r="Y143">
        <v>0.0001</v>
      </c>
      <c r="AA143">
        <v>97575.42</v>
      </c>
      <c r="AB143">
        <v>0</v>
      </c>
      <c r="AC143">
        <v>0</v>
      </c>
      <c r="AD143">
        <v>0</v>
      </c>
      <c r="AE143">
        <v>12429.99</v>
      </c>
      <c r="AF143">
        <v>0</v>
      </c>
      <c r="AG143">
        <v>0</v>
      </c>
      <c r="AH143">
        <v>0</v>
      </c>
      <c r="AI143">
        <v>7.85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0.0001</v>
      </c>
      <c r="AV143">
        <v>0</v>
      </c>
      <c r="AW143">
        <v>2</v>
      </c>
      <c r="AX143">
        <v>45926995</v>
      </c>
      <c r="AY143">
        <v>1</v>
      </c>
      <c r="AZ143">
        <v>0</v>
      </c>
      <c r="BA143">
        <v>139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Y143*Source!I48</f>
        <v>2E-05</v>
      </c>
      <c r="CY143">
        <f t="shared" si="18"/>
        <v>97575.42</v>
      </c>
      <c r="CZ143">
        <f t="shared" si="19"/>
        <v>12429.99</v>
      </c>
      <c r="DA143">
        <f t="shared" si="20"/>
        <v>7.85</v>
      </c>
      <c r="DB143">
        <v>0</v>
      </c>
    </row>
    <row r="144" spans="1:106" ht="12.75">
      <c r="A144">
        <f>ROW(Source!A48)</f>
        <v>48</v>
      </c>
      <c r="B144">
        <v>45926640</v>
      </c>
      <c r="C144">
        <v>45926980</v>
      </c>
      <c r="D144">
        <v>30624458</v>
      </c>
      <c r="E144">
        <v>1</v>
      </c>
      <c r="F144">
        <v>1</v>
      </c>
      <c r="G144">
        <v>1</v>
      </c>
      <c r="H144">
        <v>3</v>
      </c>
      <c r="I144" t="s">
        <v>599</v>
      </c>
      <c r="J144" t="s">
        <v>600</v>
      </c>
      <c r="K144" t="s">
        <v>601</v>
      </c>
      <c r="L144">
        <v>1358</v>
      </c>
      <c r="N144">
        <v>1010</v>
      </c>
      <c r="O144" t="s">
        <v>142</v>
      </c>
      <c r="P144" t="s">
        <v>142</v>
      </c>
      <c r="Q144">
        <v>10</v>
      </c>
      <c r="W144">
        <v>0</v>
      </c>
      <c r="X144">
        <v>610395517</v>
      </c>
      <c r="Y144">
        <v>2</v>
      </c>
      <c r="AA144">
        <v>153.6</v>
      </c>
      <c r="AB144">
        <v>0</v>
      </c>
      <c r="AC144">
        <v>0</v>
      </c>
      <c r="AD144">
        <v>0</v>
      </c>
      <c r="AE144">
        <v>160</v>
      </c>
      <c r="AF144">
        <v>0</v>
      </c>
      <c r="AG144">
        <v>0</v>
      </c>
      <c r="AH144">
        <v>0</v>
      </c>
      <c r="AI144">
        <v>0.96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2</v>
      </c>
      <c r="AV144">
        <v>0</v>
      </c>
      <c r="AW144">
        <v>2</v>
      </c>
      <c r="AX144">
        <v>45926996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Y144*Source!I48</f>
        <v>0.4</v>
      </c>
      <c r="CY144">
        <f t="shared" si="18"/>
        <v>153.6</v>
      </c>
      <c r="CZ144">
        <f t="shared" si="19"/>
        <v>160</v>
      </c>
      <c r="DA144">
        <f t="shared" si="20"/>
        <v>0.96</v>
      </c>
      <c r="DB144">
        <v>0</v>
      </c>
    </row>
    <row r="145" spans="1:106" ht="12.75">
      <c r="A145">
        <f>ROW(Source!A48)</f>
        <v>48</v>
      </c>
      <c r="B145">
        <v>45926640</v>
      </c>
      <c r="C145">
        <v>45926980</v>
      </c>
      <c r="D145">
        <v>42890540</v>
      </c>
      <c r="E145">
        <v>1</v>
      </c>
      <c r="F145">
        <v>1</v>
      </c>
      <c r="G145">
        <v>1</v>
      </c>
      <c r="H145">
        <v>3</v>
      </c>
      <c r="I145" t="s">
        <v>149</v>
      </c>
      <c r="J145" t="s">
        <v>151</v>
      </c>
      <c r="K145" t="s">
        <v>150</v>
      </c>
      <c r="L145">
        <v>1354</v>
      </c>
      <c r="N145">
        <v>1010</v>
      </c>
      <c r="O145" t="s">
        <v>133</v>
      </c>
      <c r="P145" t="s">
        <v>133</v>
      </c>
      <c r="Q145">
        <v>1</v>
      </c>
      <c r="W145">
        <v>0</v>
      </c>
      <c r="X145">
        <v>-18190812</v>
      </c>
      <c r="Y145">
        <v>10</v>
      </c>
      <c r="AA145">
        <v>1194.78</v>
      </c>
      <c r="AB145">
        <v>0</v>
      </c>
      <c r="AC145">
        <v>0</v>
      </c>
      <c r="AD145">
        <v>0</v>
      </c>
      <c r="AE145">
        <v>1194.78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T145">
        <v>10</v>
      </c>
      <c r="AV145">
        <v>0</v>
      </c>
      <c r="AW145">
        <v>1</v>
      </c>
      <c r="AX145">
        <v>-1</v>
      </c>
      <c r="AY145">
        <v>0</v>
      </c>
      <c r="AZ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Y145*Source!I48</f>
        <v>2</v>
      </c>
      <c r="CY145">
        <f t="shared" si="18"/>
        <v>1194.78</v>
      </c>
      <c r="CZ145">
        <f t="shared" si="19"/>
        <v>1194.78</v>
      </c>
      <c r="DA145">
        <f t="shared" si="20"/>
        <v>1</v>
      </c>
      <c r="DB145">
        <v>0</v>
      </c>
    </row>
    <row r="146" spans="1:106" ht="12.75">
      <c r="A146">
        <f>ROW(Source!A48)</f>
        <v>48</v>
      </c>
      <c r="B146">
        <v>45926640</v>
      </c>
      <c r="C146">
        <v>45926980</v>
      </c>
      <c r="D146">
        <v>30652409</v>
      </c>
      <c r="E146">
        <v>1</v>
      </c>
      <c r="F146">
        <v>1</v>
      </c>
      <c r="G146">
        <v>1</v>
      </c>
      <c r="H146">
        <v>3</v>
      </c>
      <c r="I146" t="s">
        <v>145</v>
      </c>
      <c r="J146" t="s">
        <v>147</v>
      </c>
      <c r="K146" t="s">
        <v>146</v>
      </c>
      <c r="L146">
        <v>1354</v>
      </c>
      <c r="N146">
        <v>1010</v>
      </c>
      <c r="O146" t="s">
        <v>133</v>
      </c>
      <c r="P146" t="s">
        <v>133</v>
      </c>
      <c r="Q146">
        <v>1</v>
      </c>
      <c r="W146">
        <v>1</v>
      </c>
      <c r="X146">
        <v>-837193999</v>
      </c>
      <c r="Y146">
        <v>-10</v>
      </c>
      <c r="AA146">
        <v>561.99</v>
      </c>
      <c r="AB146">
        <v>0</v>
      </c>
      <c r="AC146">
        <v>0</v>
      </c>
      <c r="AD146">
        <v>0</v>
      </c>
      <c r="AE146">
        <v>143</v>
      </c>
      <c r="AF146">
        <v>0</v>
      </c>
      <c r="AG146">
        <v>0</v>
      </c>
      <c r="AH146">
        <v>0</v>
      </c>
      <c r="AI146">
        <v>3.93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T146">
        <v>-10</v>
      </c>
      <c r="AV146">
        <v>0</v>
      </c>
      <c r="AW146">
        <v>2</v>
      </c>
      <c r="AX146">
        <v>45926997</v>
      </c>
      <c r="AY146">
        <v>1</v>
      </c>
      <c r="AZ146">
        <v>6144</v>
      </c>
      <c r="BA146">
        <v>141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Y146*Source!I48</f>
        <v>-2</v>
      </c>
      <c r="CY146">
        <f t="shared" si="18"/>
        <v>561.99</v>
      </c>
      <c r="CZ146">
        <f t="shared" si="19"/>
        <v>143</v>
      </c>
      <c r="DA146">
        <f t="shared" si="20"/>
        <v>3.93</v>
      </c>
      <c r="DB146">
        <v>0</v>
      </c>
    </row>
    <row r="147" spans="1:106" ht="12.75">
      <c r="A147">
        <f>ROW(Source!A51)</f>
        <v>51</v>
      </c>
      <c r="B147">
        <v>45926640</v>
      </c>
      <c r="C147">
        <v>45927000</v>
      </c>
      <c r="D147">
        <v>37728381</v>
      </c>
      <c r="E147">
        <v>1</v>
      </c>
      <c r="F147">
        <v>1</v>
      </c>
      <c r="G147">
        <v>1</v>
      </c>
      <c r="H147">
        <v>1</v>
      </c>
      <c r="I147" t="s">
        <v>602</v>
      </c>
      <c r="K147" t="s">
        <v>603</v>
      </c>
      <c r="L147">
        <v>1369</v>
      </c>
      <c r="N147">
        <v>1013</v>
      </c>
      <c r="O147" t="s">
        <v>335</v>
      </c>
      <c r="P147" t="s">
        <v>335</v>
      </c>
      <c r="Q147">
        <v>1</v>
      </c>
      <c r="W147">
        <v>0</v>
      </c>
      <c r="X147">
        <v>977055349</v>
      </c>
      <c r="Y147">
        <v>111.49249999999999</v>
      </c>
      <c r="AA147">
        <v>0</v>
      </c>
      <c r="AB147">
        <v>0</v>
      </c>
      <c r="AC147">
        <v>0</v>
      </c>
      <c r="AD147">
        <v>9.51</v>
      </c>
      <c r="AE147">
        <v>0</v>
      </c>
      <c r="AF147">
        <v>0</v>
      </c>
      <c r="AG147">
        <v>0</v>
      </c>
      <c r="AH147">
        <v>9.51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96.95</v>
      </c>
      <c r="AU147" t="s">
        <v>20</v>
      </c>
      <c r="AV147">
        <v>1</v>
      </c>
      <c r="AW147">
        <v>2</v>
      </c>
      <c r="AX147">
        <v>45927014</v>
      </c>
      <c r="AY147">
        <v>1</v>
      </c>
      <c r="AZ147">
        <v>0</v>
      </c>
      <c r="BA147">
        <v>142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Y147*Source!I51</f>
        <v>4.4597</v>
      </c>
      <c r="CY147">
        <f>AD147</f>
        <v>9.51</v>
      </c>
      <c r="CZ147">
        <f>AH147</f>
        <v>9.51</v>
      </c>
      <c r="DA147">
        <f>AL147</f>
        <v>1</v>
      </c>
      <c r="DB147">
        <v>0</v>
      </c>
    </row>
    <row r="148" spans="1:106" ht="12.75">
      <c r="A148">
        <f>ROW(Source!A51)</f>
        <v>51</v>
      </c>
      <c r="B148">
        <v>45926640</v>
      </c>
      <c r="C148">
        <v>45927000</v>
      </c>
      <c r="D148">
        <v>121548</v>
      </c>
      <c r="E148">
        <v>1</v>
      </c>
      <c r="F148">
        <v>1</v>
      </c>
      <c r="G148">
        <v>1</v>
      </c>
      <c r="H148">
        <v>1</v>
      </c>
      <c r="I148" t="s">
        <v>32</v>
      </c>
      <c r="K148" t="s">
        <v>336</v>
      </c>
      <c r="L148">
        <v>608254</v>
      </c>
      <c r="N148">
        <v>1013</v>
      </c>
      <c r="O148" t="s">
        <v>337</v>
      </c>
      <c r="P148" t="s">
        <v>337</v>
      </c>
      <c r="Q148">
        <v>1</v>
      </c>
      <c r="W148">
        <v>0</v>
      </c>
      <c r="X148">
        <v>-185737400</v>
      </c>
      <c r="Y148">
        <v>0.0125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0.01</v>
      </c>
      <c r="AU148" t="s">
        <v>19</v>
      </c>
      <c r="AV148">
        <v>2</v>
      </c>
      <c r="AW148">
        <v>2</v>
      </c>
      <c r="AX148">
        <v>45927015</v>
      </c>
      <c r="AY148">
        <v>1</v>
      </c>
      <c r="AZ148">
        <v>0</v>
      </c>
      <c r="BA148">
        <v>143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Y148*Source!I51</f>
        <v>0.0005</v>
      </c>
      <c r="CY148">
        <f>AD148</f>
        <v>0</v>
      </c>
      <c r="CZ148">
        <f>AH148</f>
        <v>0</v>
      </c>
      <c r="DA148">
        <f>AL148</f>
        <v>1</v>
      </c>
      <c r="DB148">
        <v>0</v>
      </c>
    </row>
    <row r="149" spans="1:106" ht="12.75">
      <c r="A149">
        <f>ROW(Source!A51)</f>
        <v>51</v>
      </c>
      <c r="B149">
        <v>45926640</v>
      </c>
      <c r="C149">
        <v>45927000</v>
      </c>
      <c r="D149">
        <v>37726147</v>
      </c>
      <c r="E149">
        <v>1</v>
      </c>
      <c r="F149">
        <v>1</v>
      </c>
      <c r="G149">
        <v>1</v>
      </c>
      <c r="H149">
        <v>2</v>
      </c>
      <c r="I149" t="s">
        <v>604</v>
      </c>
      <c r="J149" t="s">
        <v>605</v>
      </c>
      <c r="K149" t="s">
        <v>606</v>
      </c>
      <c r="L149">
        <v>1368</v>
      </c>
      <c r="N149">
        <v>1011</v>
      </c>
      <c r="O149" t="s">
        <v>341</v>
      </c>
      <c r="P149" t="s">
        <v>341</v>
      </c>
      <c r="Q149">
        <v>1</v>
      </c>
      <c r="W149">
        <v>0</v>
      </c>
      <c r="X149">
        <v>1811757824</v>
      </c>
      <c r="Y149">
        <v>0.00375</v>
      </c>
      <c r="AA149">
        <v>0</v>
      </c>
      <c r="AB149">
        <v>827.63</v>
      </c>
      <c r="AC149">
        <v>427.95</v>
      </c>
      <c r="AD149">
        <v>0</v>
      </c>
      <c r="AE149">
        <v>0</v>
      </c>
      <c r="AF149">
        <v>83.43</v>
      </c>
      <c r="AG149">
        <v>13.5</v>
      </c>
      <c r="AH149">
        <v>0</v>
      </c>
      <c r="AI149">
        <v>1</v>
      </c>
      <c r="AJ149">
        <v>9.92</v>
      </c>
      <c r="AK149">
        <v>31.7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0.003</v>
      </c>
      <c r="AU149" t="s">
        <v>19</v>
      </c>
      <c r="AV149">
        <v>0</v>
      </c>
      <c r="AW149">
        <v>2</v>
      </c>
      <c r="AX149">
        <v>45927016</v>
      </c>
      <c r="AY149">
        <v>1</v>
      </c>
      <c r="AZ149">
        <v>0</v>
      </c>
      <c r="BA149">
        <v>144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Y149*Source!I51</f>
        <v>0.00015</v>
      </c>
      <c r="CY149">
        <f aca="true" t="shared" si="21" ref="CY149:CY154">AB149</f>
        <v>827.63</v>
      </c>
      <c r="CZ149">
        <f aca="true" t="shared" si="22" ref="CZ149:CZ154">AF149</f>
        <v>83.43</v>
      </c>
      <c r="DA149">
        <f aca="true" t="shared" si="23" ref="DA149:DA154">AJ149</f>
        <v>9.92</v>
      </c>
      <c r="DB149">
        <v>0</v>
      </c>
    </row>
    <row r="150" spans="1:106" ht="12.75">
      <c r="A150">
        <f>ROW(Source!A51)</f>
        <v>51</v>
      </c>
      <c r="B150">
        <v>45926640</v>
      </c>
      <c r="C150">
        <v>45927000</v>
      </c>
      <c r="D150">
        <v>37726152</v>
      </c>
      <c r="E150">
        <v>1</v>
      </c>
      <c r="F150">
        <v>1</v>
      </c>
      <c r="G150">
        <v>1</v>
      </c>
      <c r="H150">
        <v>2</v>
      </c>
      <c r="I150" t="s">
        <v>607</v>
      </c>
      <c r="J150" t="s">
        <v>608</v>
      </c>
      <c r="K150" t="s">
        <v>609</v>
      </c>
      <c r="L150">
        <v>1368</v>
      </c>
      <c r="N150">
        <v>1011</v>
      </c>
      <c r="O150" t="s">
        <v>341</v>
      </c>
      <c r="P150" t="s">
        <v>341</v>
      </c>
      <c r="Q150">
        <v>1</v>
      </c>
      <c r="W150">
        <v>0</v>
      </c>
      <c r="X150">
        <v>144086767</v>
      </c>
      <c r="Y150">
        <v>0.005</v>
      </c>
      <c r="AA150">
        <v>0</v>
      </c>
      <c r="AB150">
        <v>923.22</v>
      </c>
      <c r="AC150">
        <v>367.72</v>
      </c>
      <c r="AD150">
        <v>0</v>
      </c>
      <c r="AE150">
        <v>0</v>
      </c>
      <c r="AF150">
        <v>88.01</v>
      </c>
      <c r="AG150">
        <v>11.6</v>
      </c>
      <c r="AH150">
        <v>0</v>
      </c>
      <c r="AI150">
        <v>1</v>
      </c>
      <c r="AJ150">
        <v>10.49</v>
      </c>
      <c r="AK150">
        <v>31.7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0.004</v>
      </c>
      <c r="AU150" t="s">
        <v>19</v>
      </c>
      <c r="AV150">
        <v>0</v>
      </c>
      <c r="AW150">
        <v>2</v>
      </c>
      <c r="AX150">
        <v>45927017</v>
      </c>
      <c r="AY150">
        <v>1</v>
      </c>
      <c r="AZ150">
        <v>0</v>
      </c>
      <c r="BA150">
        <v>145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Y150*Source!I51</f>
        <v>0.0002</v>
      </c>
      <c r="CY150">
        <f t="shared" si="21"/>
        <v>923.22</v>
      </c>
      <c r="CZ150">
        <f t="shared" si="22"/>
        <v>88.01</v>
      </c>
      <c r="DA150">
        <f t="shared" si="23"/>
        <v>10.49</v>
      </c>
      <c r="DB150">
        <v>0</v>
      </c>
    </row>
    <row r="151" spans="1:106" ht="12.75">
      <c r="A151">
        <f>ROW(Source!A51)</f>
        <v>51</v>
      </c>
      <c r="B151">
        <v>45926640</v>
      </c>
      <c r="C151">
        <v>45927000</v>
      </c>
      <c r="D151">
        <v>37726209</v>
      </c>
      <c r="E151">
        <v>1</v>
      </c>
      <c r="F151">
        <v>1</v>
      </c>
      <c r="G151">
        <v>1</v>
      </c>
      <c r="H151">
        <v>2</v>
      </c>
      <c r="I151" t="s">
        <v>610</v>
      </c>
      <c r="J151" t="s">
        <v>611</v>
      </c>
      <c r="K151" t="s">
        <v>612</v>
      </c>
      <c r="L151">
        <v>1368</v>
      </c>
      <c r="N151">
        <v>1011</v>
      </c>
      <c r="O151" t="s">
        <v>341</v>
      </c>
      <c r="P151" t="s">
        <v>341</v>
      </c>
      <c r="Q151">
        <v>1</v>
      </c>
      <c r="W151">
        <v>0</v>
      </c>
      <c r="X151">
        <v>-1815795919</v>
      </c>
      <c r="Y151">
        <v>1.5875</v>
      </c>
      <c r="AA151">
        <v>0</v>
      </c>
      <c r="AB151">
        <v>154.88</v>
      </c>
      <c r="AC151">
        <v>0</v>
      </c>
      <c r="AD151">
        <v>0</v>
      </c>
      <c r="AE151">
        <v>0</v>
      </c>
      <c r="AF151">
        <v>29.67</v>
      </c>
      <c r="AG151">
        <v>0</v>
      </c>
      <c r="AH151">
        <v>0</v>
      </c>
      <c r="AI151">
        <v>1</v>
      </c>
      <c r="AJ151">
        <v>5.22</v>
      </c>
      <c r="AK151">
        <v>31.7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1.27</v>
      </c>
      <c r="AU151" t="s">
        <v>19</v>
      </c>
      <c r="AV151">
        <v>0</v>
      </c>
      <c r="AW151">
        <v>2</v>
      </c>
      <c r="AX151">
        <v>45927018</v>
      </c>
      <c r="AY151">
        <v>1</v>
      </c>
      <c r="AZ151">
        <v>0</v>
      </c>
      <c r="BA151">
        <v>146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Y151*Source!I51</f>
        <v>0.0635</v>
      </c>
      <c r="CY151">
        <f t="shared" si="21"/>
        <v>154.88</v>
      </c>
      <c r="CZ151">
        <f t="shared" si="22"/>
        <v>29.67</v>
      </c>
      <c r="DA151">
        <f t="shared" si="23"/>
        <v>5.22</v>
      </c>
      <c r="DB151">
        <v>0</v>
      </c>
    </row>
    <row r="152" spans="1:106" ht="12.75">
      <c r="A152">
        <f>ROW(Source!A51)</f>
        <v>51</v>
      </c>
      <c r="B152">
        <v>45926640</v>
      </c>
      <c r="C152">
        <v>45927000</v>
      </c>
      <c r="D152">
        <v>37726271</v>
      </c>
      <c r="E152">
        <v>1</v>
      </c>
      <c r="F152">
        <v>1</v>
      </c>
      <c r="G152">
        <v>1</v>
      </c>
      <c r="H152">
        <v>2</v>
      </c>
      <c r="I152" t="s">
        <v>342</v>
      </c>
      <c r="J152" t="s">
        <v>343</v>
      </c>
      <c r="K152" t="s">
        <v>344</v>
      </c>
      <c r="L152">
        <v>1368</v>
      </c>
      <c r="N152">
        <v>1011</v>
      </c>
      <c r="O152" t="s">
        <v>341</v>
      </c>
      <c r="P152" t="s">
        <v>341</v>
      </c>
      <c r="Q152">
        <v>1</v>
      </c>
      <c r="W152">
        <v>0</v>
      </c>
      <c r="X152">
        <v>682929395</v>
      </c>
      <c r="Y152">
        <v>2.3375000000000004</v>
      </c>
      <c r="AA152">
        <v>0</v>
      </c>
      <c r="AB152">
        <v>12.75</v>
      </c>
      <c r="AC152">
        <v>0</v>
      </c>
      <c r="AD152">
        <v>0</v>
      </c>
      <c r="AE152">
        <v>0</v>
      </c>
      <c r="AF152">
        <v>3</v>
      </c>
      <c r="AG152">
        <v>0</v>
      </c>
      <c r="AH152">
        <v>0</v>
      </c>
      <c r="AI152">
        <v>1</v>
      </c>
      <c r="AJ152">
        <v>4.25</v>
      </c>
      <c r="AK152">
        <v>31.7</v>
      </c>
      <c r="AL152">
        <v>1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1.87</v>
      </c>
      <c r="AU152" t="s">
        <v>19</v>
      </c>
      <c r="AV152">
        <v>0</v>
      </c>
      <c r="AW152">
        <v>2</v>
      </c>
      <c r="AX152">
        <v>45927019</v>
      </c>
      <c r="AY152">
        <v>1</v>
      </c>
      <c r="AZ152">
        <v>0</v>
      </c>
      <c r="BA152">
        <v>147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Y152*Source!I51</f>
        <v>0.09350000000000001</v>
      </c>
      <c r="CY152">
        <f t="shared" si="21"/>
        <v>12.75</v>
      </c>
      <c r="CZ152">
        <f t="shared" si="22"/>
        <v>3</v>
      </c>
      <c r="DA152">
        <f t="shared" si="23"/>
        <v>4.25</v>
      </c>
      <c r="DB152">
        <v>0</v>
      </c>
    </row>
    <row r="153" spans="1:106" ht="12.75">
      <c r="A153">
        <f>ROW(Source!A51)</f>
        <v>51</v>
      </c>
      <c r="B153">
        <v>45926640</v>
      </c>
      <c r="C153">
        <v>45927000</v>
      </c>
      <c r="D153">
        <v>37726386</v>
      </c>
      <c r="E153">
        <v>1</v>
      </c>
      <c r="F153">
        <v>1</v>
      </c>
      <c r="G153">
        <v>1</v>
      </c>
      <c r="H153">
        <v>2</v>
      </c>
      <c r="I153" t="s">
        <v>345</v>
      </c>
      <c r="J153" t="s">
        <v>346</v>
      </c>
      <c r="K153" t="s">
        <v>347</v>
      </c>
      <c r="L153">
        <v>1368</v>
      </c>
      <c r="N153">
        <v>1011</v>
      </c>
      <c r="O153" t="s">
        <v>341</v>
      </c>
      <c r="P153" t="s">
        <v>341</v>
      </c>
      <c r="Q153">
        <v>1</v>
      </c>
      <c r="W153">
        <v>0</v>
      </c>
      <c r="X153">
        <v>2085738579</v>
      </c>
      <c r="Y153">
        <v>4.1125</v>
      </c>
      <c r="AA153">
        <v>0</v>
      </c>
      <c r="AB153">
        <v>31.87</v>
      </c>
      <c r="AC153">
        <v>0</v>
      </c>
      <c r="AD153">
        <v>0</v>
      </c>
      <c r="AE153">
        <v>0</v>
      </c>
      <c r="AF153">
        <v>2.08</v>
      </c>
      <c r="AG153">
        <v>0</v>
      </c>
      <c r="AH153">
        <v>0</v>
      </c>
      <c r="AI153">
        <v>1</v>
      </c>
      <c r="AJ153">
        <v>15.32</v>
      </c>
      <c r="AK153">
        <v>31.7</v>
      </c>
      <c r="AL153">
        <v>1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3.29</v>
      </c>
      <c r="AU153" t="s">
        <v>19</v>
      </c>
      <c r="AV153">
        <v>0</v>
      </c>
      <c r="AW153">
        <v>2</v>
      </c>
      <c r="AX153">
        <v>45927020</v>
      </c>
      <c r="AY153">
        <v>1</v>
      </c>
      <c r="AZ153">
        <v>0</v>
      </c>
      <c r="BA153">
        <v>148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Y153*Source!I51</f>
        <v>0.1645</v>
      </c>
      <c r="CY153">
        <f t="shared" si="21"/>
        <v>31.87</v>
      </c>
      <c r="CZ153">
        <f t="shared" si="22"/>
        <v>2.08</v>
      </c>
      <c r="DA153">
        <f t="shared" si="23"/>
        <v>15.32</v>
      </c>
      <c r="DB153">
        <v>0</v>
      </c>
    </row>
    <row r="154" spans="1:106" ht="12.75">
      <c r="A154">
        <f>ROW(Source!A51)</f>
        <v>51</v>
      </c>
      <c r="B154">
        <v>45926640</v>
      </c>
      <c r="C154">
        <v>45927000</v>
      </c>
      <c r="D154">
        <v>37726424</v>
      </c>
      <c r="E154">
        <v>1</v>
      </c>
      <c r="F154">
        <v>1</v>
      </c>
      <c r="G154">
        <v>1</v>
      </c>
      <c r="H154">
        <v>2</v>
      </c>
      <c r="I154" t="s">
        <v>613</v>
      </c>
      <c r="J154" t="s">
        <v>614</v>
      </c>
      <c r="K154" t="s">
        <v>615</v>
      </c>
      <c r="L154">
        <v>1368</v>
      </c>
      <c r="N154">
        <v>1011</v>
      </c>
      <c r="O154" t="s">
        <v>341</v>
      </c>
      <c r="P154" t="s">
        <v>341</v>
      </c>
      <c r="Q154">
        <v>1</v>
      </c>
      <c r="W154">
        <v>0</v>
      </c>
      <c r="X154">
        <v>386527806</v>
      </c>
      <c r="Y154">
        <v>20.474999999999998</v>
      </c>
      <c r="AA154">
        <v>0</v>
      </c>
      <c r="AB154">
        <v>130.2</v>
      </c>
      <c r="AC154">
        <v>0</v>
      </c>
      <c r="AD154">
        <v>0</v>
      </c>
      <c r="AE154">
        <v>0</v>
      </c>
      <c r="AF154">
        <v>26.25</v>
      </c>
      <c r="AG154">
        <v>0</v>
      </c>
      <c r="AH154">
        <v>0</v>
      </c>
      <c r="AI154">
        <v>1</v>
      </c>
      <c r="AJ154">
        <v>4.96</v>
      </c>
      <c r="AK154">
        <v>31.7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16.38</v>
      </c>
      <c r="AU154" t="s">
        <v>19</v>
      </c>
      <c r="AV154">
        <v>0</v>
      </c>
      <c r="AW154">
        <v>2</v>
      </c>
      <c r="AX154">
        <v>45927021</v>
      </c>
      <c r="AY154">
        <v>1</v>
      </c>
      <c r="AZ154">
        <v>0</v>
      </c>
      <c r="BA154">
        <v>149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Y154*Source!I51</f>
        <v>0.819</v>
      </c>
      <c r="CY154">
        <f t="shared" si="21"/>
        <v>130.2</v>
      </c>
      <c r="CZ154">
        <f t="shared" si="22"/>
        <v>26.25</v>
      </c>
      <c r="DA154">
        <f t="shared" si="23"/>
        <v>4.96</v>
      </c>
      <c r="DB154">
        <v>0</v>
      </c>
    </row>
    <row r="155" spans="1:106" ht="12.75">
      <c r="A155">
        <f>ROW(Source!A51)</f>
        <v>51</v>
      </c>
      <c r="B155">
        <v>45926640</v>
      </c>
      <c r="C155">
        <v>45927000</v>
      </c>
      <c r="D155">
        <v>37724790</v>
      </c>
      <c r="E155">
        <v>1</v>
      </c>
      <c r="F155">
        <v>1</v>
      </c>
      <c r="G155">
        <v>1</v>
      </c>
      <c r="H155">
        <v>3</v>
      </c>
      <c r="I155" t="s">
        <v>616</v>
      </c>
      <c r="J155" t="s">
        <v>617</v>
      </c>
      <c r="K155" t="s">
        <v>618</v>
      </c>
      <c r="L155">
        <v>1356</v>
      </c>
      <c r="N155">
        <v>1010</v>
      </c>
      <c r="O155" t="s">
        <v>566</v>
      </c>
      <c r="P155" t="s">
        <v>566</v>
      </c>
      <c r="Q155">
        <v>1000</v>
      </c>
      <c r="W155">
        <v>0</v>
      </c>
      <c r="X155">
        <v>-1525529840</v>
      </c>
      <c r="Y155">
        <v>0.143</v>
      </c>
      <c r="AA155">
        <v>182.58</v>
      </c>
      <c r="AB155">
        <v>0</v>
      </c>
      <c r="AC155">
        <v>0</v>
      </c>
      <c r="AD155">
        <v>0</v>
      </c>
      <c r="AE155">
        <v>179</v>
      </c>
      <c r="AF155">
        <v>0</v>
      </c>
      <c r="AG155">
        <v>0</v>
      </c>
      <c r="AH155">
        <v>0</v>
      </c>
      <c r="AI155">
        <v>1.02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0.143</v>
      </c>
      <c r="AV155">
        <v>0</v>
      </c>
      <c r="AW155">
        <v>2</v>
      </c>
      <c r="AX155">
        <v>45927022</v>
      </c>
      <c r="AY155">
        <v>1</v>
      </c>
      <c r="AZ155">
        <v>0</v>
      </c>
      <c r="BA155">
        <v>150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Y155*Source!I51</f>
        <v>0.005719999999999999</v>
      </c>
      <c r="CY155">
        <f>AA155</f>
        <v>182.58</v>
      </c>
      <c r="CZ155">
        <f>AE155</f>
        <v>179</v>
      </c>
      <c r="DA155">
        <f>AI155</f>
        <v>1.02</v>
      </c>
      <c r="DB155">
        <v>0</v>
      </c>
    </row>
    <row r="156" spans="1:106" ht="12.75">
      <c r="A156">
        <f>ROW(Source!A51)</f>
        <v>51</v>
      </c>
      <c r="B156">
        <v>45926640</v>
      </c>
      <c r="C156">
        <v>45927000</v>
      </c>
      <c r="D156">
        <v>37724776</v>
      </c>
      <c r="E156">
        <v>1</v>
      </c>
      <c r="F156">
        <v>1</v>
      </c>
      <c r="G156">
        <v>1</v>
      </c>
      <c r="H156">
        <v>3</v>
      </c>
      <c r="I156" t="s">
        <v>619</v>
      </c>
      <c r="J156" t="s">
        <v>620</v>
      </c>
      <c r="K156" t="s">
        <v>621</v>
      </c>
      <c r="L156">
        <v>1348</v>
      </c>
      <c r="N156">
        <v>1009</v>
      </c>
      <c r="O156" t="s">
        <v>406</v>
      </c>
      <c r="P156" t="s">
        <v>406</v>
      </c>
      <c r="Q156">
        <v>1000</v>
      </c>
      <c r="W156">
        <v>0</v>
      </c>
      <c r="X156">
        <v>767104585</v>
      </c>
      <c r="Y156">
        <v>0.0009</v>
      </c>
      <c r="AA156">
        <v>96521.39</v>
      </c>
      <c r="AB156">
        <v>0</v>
      </c>
      <c r="AC156">
        <v>0</v>
      </c>
      <c r="AD156">
        <v>0</v>
      </c>
      <c r="AE156">
        <v>13788.77</v>
      </c>
      <c r="AF156">
        <v>0</v>
      </c>
      <c r="AG156">
        <v>0</v>
      </c>
      <c r="AH156">
        <v>0</v>
      </c>
      <c r="AI156">
        <v>7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0.0009</v>
      </c>
      <c r="AV156">
        <v>0</v>
      </c>
      <c r="AW156">
        <v>2</v>
      </c>
      <c r="AX156">
        <v>45927023</v>
      </c>
      <c r="AY156">
        <v>1</v>
      </c>
      <c r="AZ156">
        <v>0</v>
      </c>
      <c r="BA156">
        <v>151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Y156*Source!I51</f>
        <v>3.6E-05</v>
      </c>
      <c r="CY156">
        <f>AA156</f>
        <v>96521.39</v>
      </c>
      <c r="CZ156">
        <f>AE156</f>
        <v>13788.77</v>
      </c>
      <c r="DA156">
        <f>AI156</f>
        <v>7</v>
      </c>
      <c r="DB156">
        <v>0</v>
      </c>
    </row>
    <row r="157" spans="1:106" ht="12.75">
      <c r="A157">
        <f>ROW(Source!A51)</f>
        <v>51</v>
      </c>
      <c r="B157">
        <v>45926640</v>
      </c>
      <c r="C157">
        <v>45927000</v>
      </c>
      <c r="D157">
        <v>37725196</v>
      </c>
      <c r="E157">
        <v>1</v>
      </c>
      <c r="F157">
        <v>1</v>
      </c>
      <c r="G157">
        <v>1</v>
      </c>
      <c r="H157">
        <v>3</v>
      </c>
      <c r="I157" t="s">
        <v>161</v>
      </c>
      <c r="J157" t="s">
        <v>164</v>
      </c>
      <c r="K157" t="s">
        <v>162</v>
      </c>
      <c r="L157">
        <v>7577558</v>
      </c>
      <c r="N157">
        <v>1013</v>
      </c>
      <c r="O157" t="s">
        <v>163</v>
      </c>
      <c r="P157" t="s">
        <v>85</v>
      </c>
      <c r="Q157">
        <v>1</v>
      </c>
      <c r="W157">
        <v>0</v>
      </c>
      <c r="X157">
        <v>-1851080947</v>
      </c>
      <c r="Y157">
        <v>100</v>
      </c>
      <c r="AA157">
        <v>62.46</v>
      </c>
      <c r="AB157">
        <v>0</v>
      </c>
      <c r="AC157">
        <v>0</v>
      </c>
      <c r="AD157">
        <v>0</v>
      </c>
      <c r="AE157">
        <v>30.92</v>
      </c>
      <c r="AF157">
        <v>0</v>
      </c>
      <c r="AG157">
        <v>0</v>
      </c>
      <c r="AH157">
        <v>0</v>
      </c>
      <c r="AI157">
        <v>2.02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T157">
        <v>100</v>
      </c>
      <c r="AV157">
        <v>0</v>
      </c>
      <c r="AW157">
        <v>1</v>
      </c>
      <c r="AX157">
        <v>-1</v>
      </c>
      <c r="AY157">
        <v>0</v>
      </c>
      <c r="AZ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Y157*Source!I51</f>
        <v>4</v>
      </c>
      <c r="CY157">
        <f>AA157</f>
        <v>62.46</v>
      </c>
      <c r="CZ157">
        <f>AE157</f>
        <v>30.92</v>
      </c>
      <c r="DA157">
        <f>AI157</f>
        <v>2.02</v>
      </c>
      <c r="DB157">
        <v>0</v>
      </c>
    </row>
    <row r="158" spans="1:106" ht="12.75">
      <c r="A158">
        <f>ROW(Source!A51)</f>
        <v>51</v>
      </c>
      <c r="B158">
        <v>45926640</v>
      </c>
      <c r="C158">
        <v>45927000</v>
      </c>
      <c r="D158">
        <v>37725403</v>
      </c>
      <c r="E158">
        <v>1</v>
      </c>
      <c r="F158">
        <v>1</v>
      </c>
      <c r="G158">
        <v>1</v>
      </c>
      <c r="H158">
        <v>3</v>
      </c>
      <c r="I158" t="s">
        <v>622</v>
      </c>
      <c r="J158" t="s">
        <v>623</v>
      </c>
      <c r="K158" t="s">
        <v>624</v>
      </c>
      <c r="L158">
        <v>1346</v>
      </c>
      <c r="N158">
        <v>1009</v>
      </c>
      <c r="O158" t="s">
        <v>351</v>
      </c>
      <c r="P158" t="s">
        <v>351</v>
      </c>
      <c r="Q158">
        <v>1</v>
      </c>
      <c r="W158">
        <v>0</v>
      </c>
      <c r="X158">
        <v>482552511</v>
      </c>
      <c r="Y158">
        <v>0.0016</v>
      </c>
      <c r="AA158">
        <v>7.29</v>
      </c>
      <c r="AB158">
        <v>0</v>
      </c>
      <c r="AC158">
        <v>0</v>
      </c>
      <c r="AD158">
        <v>0</v>
      </c>
      <c r="AE158">
        <v>2.15</v>
      </c>
      <c r="AF158">
        <v>0</v>
      </c>
      <c r="AG158">
        <v>0</v>
      </c>
      <c r="AH158">
        <v>0</v>
      </c>
      <c r="AI158">
        <v>3.39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0.0016</v>
      </c>
      <c r="AV158">
        <v>0</v>
      </c>
      <c r="AW158">
        <v>2</v>
      </c>
      <c r="AX158">
        <v>45927027</v>
      </c>
      <c r="AY158">
        <v>1</v>
      </c>
      <c r="AZ158">
        <v>0</v>
      </c>
      <c r="BA158">
        <v>155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Y158*Source!I51</f>
        <v>6.400000000000001E-05</v>
      </c>
      <c r="CY158">
        <f>AA158</f>
        <v>7.29</v>
      </c>
      <c r="CZ158">
        <f>AE158</f>
        <v>2.15</v>
      </c>
      <c r="DA158">
        <f>AI158</f>
        <v>3.39</v>
      </c>
      <c r="DB158">
        <v>0</v>
      </c>
    </row>
    <row r="159" spans="1:106" ht="12.75">
      <c r="A159">
        <f>ROW(Source!A51)</f>
        <v>51</v>
      </c>
      <c r="B159">
        <v>45926640</v>
      </c>
      <c r="C159">
        <v>45927000</v>
      </c>
      <c r="D159">
        <v>37725428</v>
      </c>
      <c r="E159">
        <v>1</v>
      </c>
      <c r="F159">
        <v>1</v>
      </c>
      <c r="G159">
        <v>1</v>
      </c>
      <c r="H159">
        <v>3</v>
      </c>
      <c r="I159" t="s">
        <v>385</v>
      </c>
      <c r="J159" t="s">
        <v>386</v>
      </c>
      <c r="K159" t="s">
        <v>387</v>
      </c>
      <c r="L159">
        <v>1339</v>
      </c>
      <c r="N159">
        <v>1007</v>
      </c>
      <c r="O159" t="s">
        <v>388</v>
      </c>
      <c r="P159" t="s">
        <v>388</v>
      </c>
      <c r="Q159">
        <v>1</v>
      </c>
      <c r="W159">
        <v>0</v>
      </c>
      <c r="X159">
        <v>1536317706</v>
      </c>
      <c r="Y159">
        <v>0.144</v>
      </c>
      <c r="AA159">
        <v>22.2</v>
      </c>
      <c r="AB159">
        <v>0</v>
      </c>
      <c r="AC159">
        <v>0</v>
      </c>
      <c r="AD159">
        <v>0</v>
      </c>
      <c r="AE159">
        <v>2.44</v>
      </c>
      <c r="AF159">
        <v>0</v>
      </c>
      <c r="AG159">
        <v>0</v>
      </c>
      <c r="AH159">
        <v>0</v>
      </c>
      <c r="AI159">
        <v>9.1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0.144</v>
      </c>
      <c r="AV159">
        <v>0</v>
      </c>
      <c r="AW159">
        <v>2</v>
      </c>
      <c r="AX159">
        <v>45927028</v>
      </c>
      <c r="AY159">
        <v>1</v>
      </c>
      <c r="AZ159">
        <v>0</v>
      </c>
      <c r="BA159">
        <v>156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Y159*Source!I51</f>
        <v>0.0057599999999999995</v>
      </c>
      <c r="CY159">
        <f>AA159</f>
        <v>22.2</v>
      </c>
      <c r="CZ159">
        <f>AE159</f>
        <v>2.44</v>
      </c>
      <c r="DA159">
        <f>AI159</f>
        <v>9.1</v>
      </c>
      <c r="DB159">
        <v>0</v>
      </c>
    </row>
    <row r="160" spans="1:106" ht="12.75">
      <c r="A160">
        <f>ROW(Source!A53)</f>
        <v>53</v>
      </c>
      <c r="B160">
        <v>45926640</v>
      </c>
      <c r="C160">
        <v>45927031</v>
      </c>
      <c r="D160">
        <v>37728381</v>
      </c>
      <c r="E160">
        <v>1</v>
      </c>
      <c r="F160">
        <v>1</v>
      </c>
      <c r="G160">
        <v>1</v>
      </c>
      <c r="H160">
        <v>1</v>
      </c>
      <c r="I160" t="s">
        <v>602</v>
      </c>
      <c r="K160" t="s">
        <v>603</v>
      </c>
      <c r="L160">
        <v>1369</v>
      </c>
      <c r="N160">
        <v>1013</v>
      </c>
      <c r="O160" t="s">
        <v>335</v>
      </c>
      <c r="P160" t="s">
        <v>335</v>
      </c>
      <c r="Q160">
        <v>1</v>
      </c>
      <c r="W160">
        <v>0</v>
      </c>
      <c r="X160">
        <v>977055349</v>
      </c>
      <c r="Y160">
        <v>93.66749999999999</v>
      </c>
      <c r="AA160">
        <v>0</v>
      </c>
      <c r="AB160">
        <v>0</v>
      </c>
      <c r="AC160">
        <v>0</v>
      </c>
      <c r="AD160">
        <v>9.51</v>
      </c>
      <c r="AE160">
        <v>0</v>
      </c>
      <c r="AF160">
        <v>0</v>
      </c>
      <c r="AG160">
        <v>0</v>
      </c>
      <c r="AH160">
        <v>9.51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81.45</v>
      </c>
      <c r="AU160" t="s">
        <v>20</v>
      </c>
      <c r="AV160">
        <v>1</v>
      </c>
      <c r="AW160">
        <v>2</v>
      </c>
      <c r="AX160">
        <v>45927045</v>
      </c>
      <c r="AY160">
        <v>1</v>
      </c>
      <c r="AZ160">
        <v>0</v>
      </c>
      <c r="BA160">
        <v>158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Y160*Source!I53</f>
        <v>14.986799999999999</v>
      </c>
      <c r="CY160">
        <f>AD160</f>
        <v>9.51</v>
      </c>
      <c r="CZ160">
        <f>AH160</f>
        <v>9.51</v>
      </c>
      <c r="DA160">
        <f>AL160</f>
        <v>1</v>
      </c>
      <c r="DB160">
        <v>0</v>
      </c>
    </row>
    <row r="161" spans="1:106" ht="12.75">
      <c r="A161">
        <f>ROW(Source!A53)</f>
        <v>53</v>
      </c>
      <c r="B161">
        <v>45926640</v>
      </c>
      <c r="C161">
        <v>45927031</v>
      </c>
      <c r="D161">
        <v>121548</v>
      </c>
      <c r="E161">
        <v>1</v>
      </c>
      <c r="F161">
        <v>1</v>
      </c>
      <c r="G161">
        <v>1</v>
      </c>
      <c r="H161">
        <v>1</v>
      </c>
      <c r="I161" t="s">
        <v>32</v>
      </c>
      <c r="K161" t="s">
        <v>336</v>
      </c>
      <c r="L161">
        <v>608254</v>
      </c>
      <c r="N161">
        <v>1013</v>
      </c>
      <c r="O161" t="s">
        <v>337</v>
      </c>
      <c r="P161" t="s">
        <v>337</v>
      </c>
      <c r="Q161">
        <v>1</v>
      </c>
      <c r="W161">
        <v>0</v>
      </c>
      <c r="X161">
        <v>-185737400</v>
      </c>
      <c r="Y161">
        <v>0.0125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0.01</v>
      </c>
      <c r="AU161" t="s">
        <v>19</v>
      </c>
      <c r="AV161">
        <v>2</v>
      </c>
      <c r="AW161">
        <v>2</v>
      </c>
      <c r="AX161">
        <v>45927046</v>
      </c>
      <c r="AY161">
        <v>1</v>
      </c>
      <c r="AZ161">
        <v>0</v>
      </c>
      <c r="BA161">
        <v>159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Y161*Source!I53</f>
        <v>0.002</v>
      </c>
      <c r="CY161">
        <f>AD161</f>
        <v>0</v>
      </c>
      <c r="CZ161">
        <f>AH161</f>
        <v>0</v>
      </c>
      <c r="DA161">
        <f>AL161</f>
        <v>1</v>
      </c>
      <c r="DB161">
        <v>0</v>
      </c>
    </row>
    <row r="162" spans="1:106" ht="12.75">
      <c r="A162">
        <f>ROW(Source!A53)</f>
        <v>53</v>
      </c>
      <c r="B162">
        <v>45926640</v>
      </c>
      <c r="C162">
        <v>45927031</v>
      </c>
      <c r="D162">
        <v>37726147</v>
      </c>
      <c r="E162">
        <v>1</v>
      </c>
      <c r="F162">
        <v>1</v>
      </c>
      <c r="G162">
        <v>1</v>
      </c>
      <c r="H162">
        <v>2</v>
      </c>
      <c r="I162" t="s">
        <v>604</v>
      </c>
      <c r="J162" t="s">
        <v>605</v>
      </c>
      <c r="K162" t="s">
        <v>606</v>
      </c>
      <c r="L162">
        <v>1368</v>
      </c>
      <c r="N162">
        <v>1011</v>
      </c>
      <c r="O162" t="s">
        <v>341</v>
      </c>
      <c r="P162" t="s">
        <v>341</v>
      </c>
      <c r="Q162">
        <v>1</v>
      </c>
      <c r="W162">
        <v>0</v>
      </c>
      <c r="X162">
        <v>1811757824</v>
      </c>
      <c r="Y162">
        <v>0.005</v>
      </c>
      <c r="AA162">
        <v>0</v>
      </c>
      <c r="AB162">
        <v>827.63</v>
      </c>
      <c r="AC162">
        <v>427.95</v>
      </c>
      <c r="AD162">
        <v>0</v>
      </c>
      <c r="AE162">
        <v>0</v>
      </c>
      <c r="AF162">
        <v>83.43</v>
      </c>
      <c r="AG162">
        <v>13.5</v>
      </c>
      <c r="AH162">
        <v>0</v>
      </c>
      <c r="AI162">
        <v>1</v>
      </c>
      <c r="AJ162">
        <v>9.92</v>
      </c>
      <c r="AK162">
        <v>31.7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0.004</v>
      </c>
      <c r="AU162" t="s">
        <v>19</v>
      </c>
      <c r="AV162">
        <v>0</v>
      </c>
      <c r="AW162">
        <v>2</v>
      </c>
      <c r="AX162">
        <v>45927047</v>
      </c>
      <c r="AY162">
        <v>1</v>
      </c>
      <c r="AZ162">
        <v>0</v>
      </c>
      <c r="BA162">
        <v>160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Y162*Source!I53</f>
        <v>0.0008</v>
      </c>
      <c r="CY162">
        <f aca="true" t="shared" si="24" ref="CY162:CY167">AB162</f>
        <v>827.63</v>
      </c>
      <c r="CZ162">
        <f aca="true" t="shared" si="25" ref="CZ162:CZ167">AF162</f>
        <v>83.43</v>
      </c>
      <c r="DA162">
        <f aca="true" t="shared" si="26" ref="DA162:DA167">AJ162</f>
        <v>9.92</v>
      </c>
      <c r="DB162">
        <v>0</v>
      </c>
    </row>
    <row r="163" spans="1:106" ht="12.75">
      <c r="A163">
        <f>ROW(Source!A53)</f>
        <v>53</v>
      </c>
      <c r="B163">
        <v>45926640</v>
      </c>
      <c r="C163">
        <v>45927031</v>
      </c>
      <c r="D163">
        <v>37726152</v>
      </c>
      <c r="E163">
        <v>1</v>
      </c>
      <c r="F163">
        <v>1</v>
      </c>
      <c r="G163">
        <v>1</v>
      </c>
      <c r="H163">
        <v>2</v>
      </c>
      <c r="I163" t="s">
        <v>607</v>
      </c>
      <c r="J163" t="s">
        <v>608</v>
      </c>
      <c r="K163" t="s">
        <v>609</v>
      </c>
      <c r="L163">
        <v>1368</v>
      </c>
      <c r="N163">
        <v>1011</v>
      </c>
      <c r="O163" t="s">
        <v>341</v>
      </c>
      <c r="P163" t="s">
        <v>341</v>
      </c>
      <c r="Q163">
        <v>1</v>
      </c>
      <c r="W163">
        <v>0</v>
      </c>
      <c r="X163">
        <v>144086767</v>
      </c>
      <c r="Y163">
        <v>0.0075</v>
      </c>
      <c r="AA163">
        <v>0</v>
      </c>
      <c r="AB163">
        <v>923.22</v>
      </c>
      <c r="AC163">
        <v>367.72</v>
      </c>
      <c r="AD163">
        <v>0</v>
      </c>
      <c r="AE163">
        <v>0</v>
      </c>
      <c r="AF163">
        <v>88.01</v>
      </c>
      <c r="AG163">
        <v>11.6</v>
      </c>
      <c r="AH163">
        <v>0</v>
      </c>
      <c r="AI163">
        <v>1</v>
      </c>
      <c r="AJ163">
        <v>10.49</v>
      </c>
      <c r="AK163">
        <v>31.7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0.006</v>
      </c>
      <c r="AU163" t="s">
        <v>19</v>
      </c>
      <c r="AV163">
        <v>0</v>
      </c>
      <c r="AW163">
        <v>2</v>
      </c>
      <c r="AX163">
        <v>45927048</v>
      </c>
      <c r="AY163">
        <v>1</v>
      </c>
      <c r="AZ163">
        <v>0</v>
      </c>
      <c r="BA163">
        <v>161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Y163*Source!I53</f>
        <v>0.0012</v>
      </c>
      <c r="CY163">
        <f t="shared" si="24"/>
        <v>923.22</v>
      </c>
      <c r="CZ163">
        <f t="shared" si="25"/>
        <v>88.01</v>
      </c>
      <c r="DA163">
        <f t="shared" si="26"/>
        <v>10.49</v>
      </c>
      <c r="DB163">
        <v>0</v>
      </c>
    </row>
    <row r="164" spans="1:106" ht="12.75">
      <c r="A164">
        <f>ROW(Source!A53)</f>
        <v>53</v>
      </c>
      <c r="B164">
        <v>45926640</v>
      </c>
      <c r="C164">
        <v>45927031</v>
      </c>
      <c r="D164">
        <v>37726209</v>
      </c>
      <c r="E164">
        <v>1</v>
      </c>
      <c r="F164">
        <v>1</v>
      </c>
      <c r="G164">
        <v>1</v>
      </c>
      <c r="H164">
        <v>2</v>
      </c>
      <c r="I164" t="s">
        <v>610</v>
      </c>
      <c r="J164" t="s">
        <v>611</v>
      </c>
      <c r="K164" t="s">
        <v>612</v>
      </c>
      <c r="L164">
        <v>1368</v>
      </c>
      <c r="N164">
        <v>1011</v>
      </c>
      <c r="O164" t="s">
        <v>341</v>
      </c>
      <c r="P164" t="s">
        <v>341</v>
      </c>
      <c r="Q164">
        <v>1</v>
      </c>
      <c r="W164">
        <v>0</v>
      </c>
      <c r="X164">
        <v>-1815795919</v>
      </c>
      <c r="Y164">
        <v>1.5875</v>
      </c>
      <c r="AA164">
        <v>0</v>
      </c>
      <c r="AB164">
        <v>154.88</v>
      </c>
      <c r="AC164">
        <v>0</v>
      </c>
      <c r="AD164">
        <v>0</v>
      </c>
      <c r="AE164">
        <v>0</v>
      </c>
      <c r="AF164">
        <v>29.67</v>
      </c>
      <c r="AG164">
        <v>0</v>
      </c>
      <c r="AH164">
        <v>0</v>
      </c>
      <c r="AI164">
        <v>1</v>
      </c>
      <c r="AJ164">
        <v>5.22</v>
      </c>
      <c r="AK164">
        <v>31.7</v>
      </c>
      <c r="AL164">
        <v>1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1.27</v>
      </c>
      <c r="AU164" t="s">
        <v>19</v>
      </c>
      <c r="AV164">
        <v>0</v>
      </c>
      <c r="AW164">
        <v>2</v>
      </c>
      <c r="AX164">
        <v>45927049</v>
      </c>
      <c r="AY164">
        <v>1</v>
      </c>
      <c r="AZ164">
        <v>0</v>
      </c>
      <c r="BA164">
        <v>162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Y164*Source!I53</f>
        <v>0.254</v>
      </c>
      <c r="CY164">
        <f t="shared" si="24"/>
        <v>154.88</v>
      </c>
      <c r="CZ164">
        <f t="shared" si="25"/>
        <v>29.67</v>
      </c>
      <c r="DA164">
        <f t="shared" si="26"/>
        <v>5.22</v>
      </c>
      <c r="DB164">
        <v>0</v>
      </c>
    </row>
    <row r="165" spans="1:106" ht="12.75">
      <c r="A165">
        <f>ROW(Source!A53)</f>
        <v>53</v>
      </c>
      <c r="B165">
        <v>45926640</v>
      </c>
      <c r="C165">
        <v>45927031</v>
      </c>
      <c r="D165">
        <v>37726271</v>
      </c>
      <c r="E165">
        <v>1</v>
      </c>
      <c r="F165">
        <v>1</v>
      </c>
      <c r="G165">
        <v>1</v>
      </c>
      <c r="H165">
        <v>2</v>
      </c>
      <c r="I165" t="s">
        <v>342</v>
      </c>
      <c r="J165" t="s">
        <v>343</v>
      </c>
      <c r="K165" t="s">
        <v>344</v>
      </c>
      <c r="L165">
        <v>1368</v>
      </c>
      <c r="N165">
        <v>1011</v>
      </c>
      <c r="O165" t="s">
        <v>341</v>
      </c>
      <c r="P165" t="s">
        <v>341</v>
      </c>
      <c r="Q165">
        <v>1</v>
      </c>
      <c r="W165">
        <v>0</v>
      </c>
      <c r="X165">
        <v>682929395</v>
      </c>
      <c r="Y165">
        <v>2.0250000000000004</v>
      </c>
      <c r="AA165">
        <v>0</v>
      </c>
      <c r="AB165">
        <v>12.75</v>
      </c>
      <c r="AC165">
        <v>0</v>
      </c>
      <c r="AD165">
        <v>0</v>
      </c>
      <c r="AE165">
        <v>0</v>
      </c>
      <c r="AF165">
        <v>3</v>
      </c>
      <c r="AG165">
        <v>0</v>
      </c>
      <c r="AH165">
        <v>0</v>
      </c>
      <c r="AI165">
        <v>1</v>
      </c>
      <c r="AJ165">
        <v>4.25</v>
      </c>
      <c r="AK165">
        <v>31.7</v>
      </c>
      <c r="AL165">
        <v>1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1.62</v>
      </c>
      <c r="AU165" t="s">
        <v>19</v>
      </c>
      <c r="AV165">
        <v>0</v>
      </c>
      <c r="AW165">
        <v>2</v>
      </c>
      <c r="AX165">
        <v>45927050</v>
      </c>
      <c r="AY165">
        <v>1</v>
      </c>
      <c r="AZ165">
        <v>0</v>
      </c>
      <c r="BA165">
        <v>163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Y165*Source!I53</f>
        <v>0.32400000000000007</v>
      </c>
      <c r="CY165">
        <f t="shared" si="24"/>
        <v>12.75</v>
      </c>
      <c r="CZ165">
        <f t="shared" si="25"/>
        <v>3</v>
      </c>
      <c r="DA165">
        <f t="shared" si="26"/>
        <v>4.25</v>
      </c>
      <c r="DB165">
        <v>0</v>
      </c>
    </row>
    <row r="166" spans="1:106" ht="12.75">
      <c r="A166">
        <f>ROW(Source!A53)</f>
        <v>53</v>
      </c>
      <c r="B166">
        <v>45926640</v>
      </c>
      <c r="C166">
        <v>45927031</v>
      </c>
      <c r="D166">
        <v>37726386</v>
      </c>
      <c r="E166">
        <v>1</v>
      </c>
      <c r="F166">
        <v>1</v>
      </c>
      <c r="G166">
        <v>1</v>
      </c>
      <c r="H166">
        <v>2</v>
      </c>
      <c r="I166" t="s">
        <v>345</v>
      </c>
      <c r="J166" t="s">
        <v>346</v>
      </c>
      <c r="K166" t="s">
        <v>347</v>
      </c>
      <c r="L166">
        <v>1368</v>
      </c>
      <c r="N166">
        <v>1011</v>
      </c>
      <c r="O166" t="s">
        <v>341</v>
      </c>
      <c r="P166" t="s">
        <v>341</v>
      </c>
      <c r="Q166">
        <v>1</v>
      </c>
      <c r="W166">
        <v>0</v>
      </c>
      <c r="X166">
        <v>2085738579</v>
      </c>
      <c r="Y166">
        <v>3.5999999999999996</v>
      </c>
      <c r="AA166">
        <v>0</v>
      </c>
      <c r="AB166">
        <v>31.87</v>
      </c>
      <c r="AC166">
        <v>0</v>
      </c>
      <c r="AD166">
        <v>0</v>
      </c>
      <c r="AE166">
        <v>0</v>
      </c>
      <c r="AF166">
        <v>2.08</v>
      </c>
      <c r="AG166">
        <v>0</v>
      </c>
      <c r="AH166">
        <v>0</v>
      </c>
      <c r="AI166">
        <v>1</v>
      </c>
      <c r="AJ166">
        <v>15.32</v>
      </c>
      <c r="AK166">
        <v>31.7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2.88</v>
      </c>
      <c r="AU166" t="s">
        <v>19</v>
      </c>
      <c r="AV166">
        <v>0</v>
      </c>
      <c r="AW166">
        <v>2</v>
      </c>
      <c r="AX166">
        <v>45927051</v>
      </c>
      <c r="AY166">
        <v>1</v>
      </c>
      <c r="AZ166">
        <v>0</v>
      </c>
      <c r="BA166">
        <v>164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Y166*Source!I53</f>
        <v>0.576</v>
      </c>
      <c r="CY166">
        <f t="shared" si="24"/>
        <v>31.87</v>
      </c>
      <c r="CZ166">
        <f t="shared" si="25"/>
        <v>2.08</v>
      </c>
      <c r="DA166">
        <f t="shared" si="26"/>
        <v>15.32</v>
      </c>
      <c r="DB166">
        <v>0</v>
      </c>
    </row>
    <row r="167" spans="1:106" ht="12.75">
      <c r="A167">
        <f>ROW(Source!A53)</f>
        <v>53</v>
      </c>
      <c r="B167">
        <v>45926640</v>
      </c>
      <c r="C167">
        <v>45927031</v>
      </c>
      <c r="D167">
        <v>37726424</v>
      </c>
      <c r="E167">
        <v>1</v>
      </c>
      <c r="F167">
        <v>1</v>
      </c>
      <c r="G167">
        <v>1</v>
      </c>
      <c r="H167">
        <v>2</v>
      </c>
      <c r="I167" t="s">
        <v>613</v>
      </c>
      <c r="J167" t="s">
        <v>614</v>
      </c>
      <c r="K167" t="s">
        <v>615</v>
      </c>
      <c r="L167">
        <v>1368</v>
      </c>
      <c r="N167">
        <v>1011</v>
      </c>
      <c r="O167" t="s">
        <v>341</v>
      </c>
      <c r="P167" t="s">
        <v>341</v>
      </c>
      <c r="Q167">
        <v>1</v>
      </c>
      <c r="W167">
        <v>0</v>
      </c>
      <c r="X167">
        <v>386527806</v>
      </c>
      <c r="Y167">
        <v>16</v>
      </c>
      <c r="AA167">
        <v>0</v>
      </c>
      <c r="AB167">
        <v>130.2</v>
      </c>
      <c r="AC167">
        <v>0</v>
      </c>
      <c r="AD167">
        <v>0</v>
      </c>
      <c r="AE167">
        <v>0</v>
      </c>
      <c r="AF167">
        <v>26.25</v>
      </c>
      <c r="AG167">
        <v>0</v>
      </c>
      <c r="AH167">
        <v>0</v>
      </c>
      <c r="AI167">
        <v>1</v>
      </c>
      <c r="AJ167">
        <v>4.96</v>
      </c>
      <c r="AK167">
        <v>31.7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12.8</v>
      </c>
      <c r="AU167" t="s">
        <v>19</v>
      </c>
      <c r="AV167">
        <v>0</v>
      </c>
      <c r="AW167">
        <v>2</v>
      </c>
      <c r="AX167">
        <v>45927052</v>
      </c>
      <c r="AY167">
        <v>1</v>
      </c>
      <c r="AZ167">
        <v>0</v>
      </c>
      <c r="BA167">
        <v>165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Y167*Source!I53</f>
        <v>2.56</v>
      </c>
      <c r="CY167">
        <f t="shared" si="24"/>
        <v>130.2</v>
      </c>
      <c r="CZ167">
        <f t="shared" si="25"/>
        <v>26.25</v>
      </c>
      <c r="DA167">
        <f t="shared" si="26"/>
        <v>4.96</v>
      </c>
      <c r="DB167">
        <v>0</v>
      </c>
    </row>
    <row r="168" spans="1:106" ht="12.75">
      <c r="A168">
        <f>ROW(Source!A53)</f>
        <v>53</v>
      </c>
      <c r="B168">
        <v>45926640</v>
      </c>
      <c r="C168">
        <v>45927031</v>
      </c>
      <c r="D168">
        <v>37724790</v>
      </c>
      <c r="E168">
        <v>1</v>
      </c>
      <c r="F168">
        <v>1</v>
      </c>
      <c r="G168">
        <v>1</v>
      </c>
      <c r="H168">
        <v>3</v>
      </c>
      <c r="I168" t="s">
        <v>616</v>
      </c>
      <c r="J168" t="s">
        <v>617</v>
      </c>
      <c r="K168" t="s">
        <v>618</v>
      </c>
      <c r="L168">
        <v>1356</v>
      </c>
      <c r="N168">
        <v>1010</v>
      </c>
      <c r="O168" t="s">
        <v>566</v>
      </c>
      <c r="P168" t="s">
        <v>566</v>
      </c>
      <c r="Q168">
        <v>1000</v>
      </c>
      <c r="W168">
        <v>0</v>
      </c>
      <c r="X168">
        <v>-1525529840</v>
      </c>
      <c r="Y168">
        <v>0.125</v>
      </c>
      <c r="AA168">
        <v>182.58</v>
      </c>
      <c r="AB168">
        <v>0</v>
      </c>
      <c r="AC168">
        <v>0</v>
      </c>
      <c r="AD168">
        <v>0</v>
      </c>
      <c r="AE168">
        <v>179</v>
      </c>
      <c r="AF168">
        <v>0</v>
      </c>
      <c r="AG168">
        <v>0</v>
      </c>
      <c r="AH168">
        <v>0</v>
      </c>
      <c r="AI168">
        <v>1.02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0.125</v>
      </c>
      <c r="AV168">
        <v>0</v>
      </c>
      <c r="AW168">
        <v>2</v>
      </c>
      <c r="AX168">
        <v>45927053</v>
      </c>
      <c r="AY168">
        <v>1</v>
      </c>
      <c r="AZ168">
        <v>0</v>
      </c>
      <c r="BA168">
        <v>166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Y168*Source!I53</f>
        <v>0.02</v>
      </c>
      <c r="CY168">
        <f>AA168</f>
        <v>182.58</v>
      </c>
      <c r="CZ168">
        <f>AE168</f>
        <v>179</v>
      </c>
      <c r="DA168">
        <f>AI168</f>
        <v>1.02</v>
      </c>
      <c r="DB168">
        <v>0</v>
      </c>
    </row>
    <row r="169" spans="1:106" ht="12.75">
      <c r="A169">
        <f>ROW(Source!A53)</f>
        <v>53</v>
      </c>
      <c r="B169">
        <v>45926640</v>
      </c>
      <c r="C169">
        <v>45927031</v>
      </c>
      <c r="D169">
        <v>37724776</v>
      </c>
      <c r="E169">
        <v>1</v>
      </c>
      <c r="F169">
        <v>1</v>
      </c>
      <c r="G169">
        <v>1</v>
      </c>
      <c r="H169">
        <v>3</v>
      </c>
      <c r="I169" t="s">
        <v>619</v>
      </c>
      <c r="J169" t="s">
        <v>620</v>
      </c>
      <c r="K169" t="s">
        <v>621</v>
      </c>
      <c r="L169">
        <v>1348</v>
      </c>
      <c r="N169">
        <v>1009</v>
      </c>
      <c r="O169" t="s">
        <v>406</v>
      </c>
      <c r="P169" t="s">
        <v>406</v>
      </c>
      <c r="Q169">
        <v>1000</v>
      </c>
      <c r="W169">
        <v>0</v>
      </c>
      <c r="X169">
        <v>767104585</v>
      </c>
      <c r="Y169">
        <v>0.0008</v>
      </c>
      <c r="AA169">
        <v>96521.39</v>
      </c>
      <c r="AB169">
        <v>0</v>
      </c>
      <c r="AC169">
        <v>0</v>
      </c>
      <c r="AD169">
        <v>0</v>
      </c>
      <c r="AE169">
        <v>13788.77</v>
      </c>
      <c r="AF169">
        <v>0</v>
      </c>
      <c r="AG169">
        <v>0</v>
      </c>
      <c r="AH169">
        <v>0</v>
      </c>
      <c r="AI169">
        <v>7</v>
      </c>
      <c r="AJ169">
        <v>1</v>
      </c>
      <c r="AK169">
        <v>1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0.0008</v>
      </c>
      <c r="AV169">
        <v>0</v>
      </c>
      <c r="AW169">
        <v>2</v>
      </c>
      <c r="AX169">
        <v>45927054</v>
      </c>
      <c r="AY169">
        <v>1</v>
      </c>
      <c r="AZ169">
        <v>0</v>
      </c>
      <c r="BA169">
        <v>167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Y169*Source!I53</f>
        <v>0.00012800000000000002</v>
      </c>
      <c r="CY169">
        <f>AA169</f>
        <v>96521.39</v>
      </c>
      <c r="CZ169">
        <f>AE169</f>
        <v>13788.77</v>
      </c>
      <c r="DA169">
        <f>AI169</f>
        <v>7</v>
      </c>
      <c r="DB169">
        <v>0</v>
      </c>
    </row>
    <row r="170" spans="1:106" ht="12.75">
      <c r="A170">
        <f>ROW(Source!A53)</f>
        <v>53</v>
      </c>
      <c r="B170">
        <v>45926640</v>
      </c>
      <c r="C170">
        <v>45927031</v>
      </c>
      <c r="D170">
        <v>37725197</v>
      </c>
      <c r="E170">
        <v>1</v>
      </c>
      <c r="F170">
        <v>1</v>
      </c>
      <c r="G170">
        <v>1</v>
      </c>
      <c r="H170">
        <v>3</v>
      </c>
      <c r="I170" t="s">
        <v>170</v>
      </c>
      <c r="J170" t="s">
        <v>172</v>
      </c>
      <c r="K170" t="s">
        <v>171</v>
      </c>
      <c r="L170">
        <v>7577558</v>
      </c>
      <c r="N170">
        <v>1013</v>
      </c>
      <c r="O170" t="s">
        <v>163</v>
      </c>
      <c r="P170" t="s">
        <v>85</v>
      </c>
      <c r="Q170">
        <v>1</v>
      </c>
      <c r="W170">
        <v>0</v>
      </c>
      <c r="X170">
        <v>-1233877324</v>
      </c>
      <c r="Y170">
        <v>100.8</v>
      </c>
      <c r="AA170">
        <v>89.78</v>
      </c>
      <c r="AB170">
        <v>0</v>
      </c>
      <c r="AC170">
        <v>0</v>
      </c>
      <c r="AD170">
        <v>0</v>
      </c>
      <c r="AE170">
        <v>41.76</v>
      </c>
      <c r="AF170">
        <v>0</v>
      </c>
      <c r="AG170">
        <v>0</v>
      </c>
      <c r="AH170">
        <v>0</v>
      </c>
      <c r="AI170">
        <v>2.15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T170">
        <v>100.8</v>
      </c>
      <c r="AV170">
        <v>0</v>
      </c>
      <c r="AW170">
        <v>1</v>
      </c>
      <c r="AX170">
        <v>-1</v>
      </c>
      <c r="AY170">
        <v>0</v>
      </c>
      <c r="AZ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Y170*Source!I53</f>
        <v>16.128</v>
      </c>
      <c r="CY170">
        <f>AA170</f>
        <v>89.78</v>
      </c>
      <c r="CZ170">
        <f>AE170</f>
        <v>41.76</v>
      </c>
      <c r="DA170">
        <f>AI170</f>
        <v>2.15</v>
      </c>
      <c r="DB170">
        <v>0</v>
      </c>
    </row>
    <row r="171" spans="1:106" ht="12.75">
      <c r="A171">
        <f>ROW(Source!A53)</f>
        <v>53</v>
      </c>
      <c r="B171">
        <v>45926640</v>
      </c>
      <c r="C171">
        <v>45927031</v>
      </c>
      <c r="D171">
        <v>37725403</v>
      </c>
      <c r="E171">
        <v>1</v>
      </c>
      <c r="F171">
        <v>1</v>
      </c>
      <c r="G171">
        <v>1</v>
      </c>
      <c r="H171">
        <v>3</v>
      </c>
      <c r="I171" t="s">
        <v>622</v>
      </c>
      <c r="J171" t="s">
        <v>623</v>
      </c>
      <c r="K171" t="s">
        <v>624</v>
      </c>
      <c r="L171">
        <v>1346</v>
      </c>
      <c r="N171">
        <v>1009</v>
      </c>
      <c r="O171" t="s">
        <v>351</v>
      </c>
      <c r="P171" t="s">
        <v>351</v>
      </c>
      <c r="Q171">
        <v>1</v>
      </c>
      <c r="W171">
        <v>0</v>
      </c>
      <c r="X171">
        <v>482552511</v>
      </c>
      <c r="Y171">
        <v>0.0025</v>
      </c>
      <c r="AA171">
        <v>7.29</v>
      </c>
      <c r="AB171">
        <v>0</v>
      </c>
      <c r="AC171">
        <v>0</v>
      </c>
      <c r="AD171">
        <v>0</v>
      </c>
      <c r="AE171">
        <v>2.15</v>
      </c>
      <c r="AF171">
        <v>0</v>
      </c>
      <c r="AG171">
        <v>0</v>
      </c>
      <c r="AH171">
        <v>0</v>
      </c>
      <c r="AI171">
        <v>3.39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0.0025</v>
      </c>
      <c r="AV171">
        <v>0</v>
      </c>
      <c r="AW171">
        <v>2</v>
      </c>
      <c r="AX171">
        <v>45927057</v>
      </c>
      <c r="AY171">
        <v>1</v>
      </c>
      <c r="AZ171">
        <v>0</v>
      </c>
      <c r="BA171">
        <v>170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Y171*Source!I53</f>
        <v>0.0004</v>
      </c>
      <c r="CY171">
        <f>AA171</f>
        <v>7.29</v>
      </c>
      <c r="CZ171">
        <f>AE171</f>
        <v>2.15</v>
      </c>
      <c r="DA171">
        <f>AI171</f>
        <v>3.39</v>
      </c>
      <c r="DB171">
        <v>0</v>
      </c>
    </row>
    <row r="172" spans="1:106" ht="12.75">
      <c r="A172">
        <f>ROW(Source!A53)</f>
        <v>53</v>
      </c>
      <c r="B172">
        <v>45926640</v>
      </c>
      <c r="C172">
        <v>45927031</v>
      </c>
      <c r="D172">
        <v>37725428</v>
      </c>
      <c r="E172">
        <v>1</v>
      </c>
      <c r="F172">
        <v>1</v>
      </c>
      <c r="G172">
        <v>1</v>
      </c>
      <c r="H172">
        <v>3</v>
      </c>
      <c r="I172" t="s">
        <v>385</v>
      </c>
      <c r="J172" t="s">
        <v>386</v>
      </c>
      <c r="K172" t="s">
        <v>387</v>
      </c>
      <c r="L172">
        <v>1339</v>
      </c>
      <c r="N172">
        <v>1007</v>
      </c>
      <c r="O172" t="s">
        <v>388</v>
      </c>
      <c r="P172" t="s">
        <v>388</v>
      </c>
      <c r="Q172">
        <v>1</v>
      </c>
      <c r="W172">
        <v>0</v>
      </c>
      <c r="X172">
        <v>1536317706</v>
      </c>
      <c r="Y172">
        <v>0.226</v>
      </c>
      <c r="AA172">
        <v>22.2</v>
      </c>
      <c r="AB172">
        <v>0</v>
      </c>
      <c r="AC172">
        <v>0</v>
      </c>
      <c r="AD172">
        <v>0</v>
      </c>
      <c r="AE172">
        <v>2.44</v>
      </c>
      <c r="AF172">
        <v>0</v>
      </c>
      <c r="AG172">
        <v>0</v>
      </c>
      <c r="AH172">
        <v>0</v>
      </c>
      <c r="AI172">
        <v>9.1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0.226</v>
      </c>
      <c r="AV172">
        <v>0</v>
      </c>
      <c r="AW172">
        <v>2</v>
      </c>
      <c r="AX172">
        <v>45927058</v>
      </c>
      <c r="AY172">
        <v>1</v>
      </c>
      <c r="AZ172">
        <v>0</v>
      </c>
      <c r="BA172">
        <v>171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Y172*Source!I53</f>
        <v>0.036160000000000005</v>
      </c>
      <c r="CY172">
        <f>AA172</f>
        <v>22.2</v>
      </c>
      <c r="CZ172">
        <f>AE172</f>
        <v>2.44</v>
      </c>
      <c r="DA172">
        <f>AI172</f>
        <v>9.1</v>
      </c>
      <c r="DB172">
        <v>0</v>
      </c>
    </row>
    <row r="173" spans="1:106" ht="12.75">
      <c r="A173">
        <f>ROW(Source!A55)</f>
        <v>55</v>
      </c>
      <c r="B173">
        <v>45926640</v>
      </c>
      <c r="C173">
        <v>45927062</v>
      </c>
      <c r="D173">
        <v>13672078</v>
      </c>
      <c r="E173">
        <v>1</v>
      </c>
      <c r="F173">
        <v>1</v>
      </c>
      <c r="G173">
        <v>1</v>
      </c>
      <c r="H173">
        <v>1</v>
      </c>
      <c r="I173" t="s">
        <v>625</v>
      </c>
      <c r="K173" t="s">
        <v>626</v>
      </c>
      <c r="L173">
        <v>1369</v>
      </c>
      <c r="N173">
        <v>1013</v>
      </c>
      <c r="O173" t="s">
        <v>335</v>
      </c>
      <c r="P173" t="s">
        <v>335</v>
      </c>
      <c r="Q173">
        <v>1</v>
      </c>
      <c r="W173">
        <v>0</v>
      </c>
      <c r="X173">
        <v>-1366182279</v>
      </c>
      <c r="Y173">
        <v>73.87599999999999</v>
      </c>
      <c r="AA173">
        <v>0</v>
      </c>
      <c r="AB173">
        <v>0</v>
      </c>
      <c r="AC173">
        <v>0</v>
      </c>
      <c r="AD173">
        <v>9.92</v>
      </c>
      <c r="AE173">
        <v>0</v>
      </c>
      <c r="AF173">
        <v>0</v>
      </c>
      <c r="AG173">
        <v>0</v>
      </c>
      <c r="AH173">
        <v>9.92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64.24</v>
      </c>
      <c r="AU173" t="s">
        <v>20</v>
      </c>
      <c r="AV173">
        <v>1</v>
      </c>
      <c r="AW173">
        <v>2</v>
      </c>
      <c r="AX173">
        <v>45927072</v>
      </c>
      <c r="AY173">
        <v>1</v>
      </c>
      <c r="AZ173">
        <v>0</v>
      </c>
      <c r="BA173">
        <v>174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Y173*Source!I55</f>
        <v>1.47752</v>
      </c>
      <c r="CY173">
        <f>AD173</f>
        <v>9.92</v>
      </c>
      <c r="CZ173">
        <f>AH173</f>
        <v>9.92</v>
      </c>
      <c r="DA173">
        <f>AL173</f>
        <v>1</v>
      </c>
      <c r="DB173">
        <v>0</v>
      </c>
    </row>
    <row r="174" spans="1:106" ht="12.75">
      <c r="A174">
        <f>ROW(Source!A55)</f>
        <v>55</v>
      </c>
      <c r="B174">
        <v>45926640</v>
      </c>
      <c r="C174">
        <v>45927062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32</v>
      </c>
      <c r="K174" t="s">
        <v>336</v>
      </c>
      <c r="L174">
        <v>608254</v>
      </c>
      <c r="N174">
        <v>1013</v>
      </c>
      <c r="O174" t="s">
        <v>337</v>
      </c>
      <c r="P174" t="s">
        <v>337</v>
      </c>
      <c r="Q174">
        <v>1</v>
      </c>
      <c r="W174">
        <v>0</v>
      </c>
      <c r="X174">
        <v>-185737400</v>
      </c>
      <c r="Y174">
        <v>0.025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0.02</v>
      </c>
      <c r="AU174" t="s">
        <v>19</v>
      </c>
      <c r="AV174">
        <v>2</v>
      </c>
      <c r="AW174">
        <v>2</v>
      </c>
      <c r="AX174">
        <v>45927073</v>
      </c>
      <c r="AY174">
        <v>1</v>
      </c>
      <c r="AZ174">
        <v>0</v>
      </c>
      <c r="BA174">
        <v>175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Y174*Source!I55</f>
        <v>0.0005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ht="12.75">
      <c r="A175">
        <f>ROW(Source!A55)</f>
        <v>55</v>
      </c>
      <c r="B175">
        <v>45926640</v>
      </c>
      <c r="C175">
        <v>45927062</v>
      </c>
      <c r="D175">
        <v>30682255</v>
      </c>
      <c r="E175">
        <v>1</v>
      </c>
      <c r="F175">
        <v>1</v>
      </c>
      <c r="G175">
        <v>1</v>
      </c>
      <c r="H175">
        <v>2</v>
      </c>
      <c r="I175" t="s">
        <v>391</v>
      </c>
      <c r="J175" t="s">
        <v>627</v>
      </c>
      <c r="K175" t="s">
        <v>393</v>
      </c>
      <c r="L175">
        <v>1368</v>
      </c>
      <c r="N175">
        <v>1011</v>
      </c>
      <c r="O175" t="s">
        <v>341</v>
      </c>
      <c r="P175" t="s">
        <v>341</v>
      </c>
      <c r="Q175">
        <v>1</v>
      </c>
      <c r="W175">
        <v>0</v>
      </c>
      <c r="X175">
        <v>-438066613</v>
      </c>
      <c r="Y175">
        <v>0.0125</v>
      </c>
      <c r="AA175">
        <v>0</v>
      </c>
      <c r="AB175">
        <v>867.46</v>
      </c>
      <c r="AC175">
        <v>427.95</v>
      </c>
      <c r="AD175">
        <v>0</v>
      </c>
      <c r="AE175">
        <v>0</v>
      </c>
      <c r="AF175">
        <v>86.4</v>
      </c>
      <c r="AG175">
        <v>13.5</v>
      </c>
      <c r="AH175">
        <v>0</v>
      </c>
      <c r="AI175">
        <v>1</v>
      </c>
      <c r="AJ175">
        <v>10.04</v>
      </c>
      <c r="AK175">
        <v>31.7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T175">
        <v>0.01</v>
      </c>
      <c r="AU175" t="s">
        <v>19</v>
      </c>
      <c r="AV175">
        <v>0</v>
      </c>
      <c r="AW175">
        <v>2</v>
      </c>
      <c r="AX175">
        <v>45927074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Y175*Source!I55</f>
        <v>0.00025</v>
      </c>
      <c r="CY175">
        <f>AB175</f>
        <v>867.46</v>
      </c>
      <c r="CZ175">
        <f>AF175</f>
        <v>86.4</v>
      </c>
      <c r="DA175">
        <f>AJ175</f>
        <v>10.04</v>
      </c>
      <c r="DB175">
        <v>0</v>
      </c>
    </row>
    <row r="176" spans="1:106" ht="12.75">
      <c r="A176">
        <f>ROW(Source!A55)</f>
        <v>55</v>
      </c>
      <c r="B176">
        <v>45926640</v>
      </c>
      <c r="C176">
        <v>45927062</v>
      </c>
      <c r="D176">
        <v>30682366</v>
      </c>
      <c r="E176">
        <v>1</v>
      </c>
      <c r="F176">
        <v>1</v>
      </c>
      <c r="G176">
        <v>1</v>
      </c>
      <c r="H176">
        <v>2</v>
      </c>
      <c r="I176" t="s">
        <v>394</v>
      </c>
      <c r="J176" t="s">
        <v>502</v>
      </c>
      <c r="K176" t="s">
        <v>396</v>
      </c>
      <c r="L176">
        <v>1368</v>
      </c>
      <c r="N176">
        <v>1011</v>
      </c>
      <c r="O176" t="s">
        <v>341</v>
      </c>
      <c r="P176" t="s">
        <v>341</v>
      </c>
      <c r="Q176">
        <v>1</v>
      </c>
      <c r="W176">
        <v>0</v>
      </c>
      <c r="X176">
        <v>1106923569</v>
      </c>
      <c r="Y176">
        <v>0.0125</v>
      </c>
      <c r="AA176">
        <v>0</v>
      </c>
      <c r="AB176">
        <v>1076.32</v>
      </c>
      <c r="AC176">
        <v>427.95</v>
      </c>
      <c r="AD176">
        <v>0</v>
      </c>
      <c r="AE176">
        <v>0</v>
      </c>
      <c r="AF176">
        <v>112</v>
      </c>
      <c r="AG176">
        <v>13.5</v>
      </c>
      <c r="AH176">
        <v>0</v>
      </c>
      <c r="AI176">
        <v>1</v>
      </c>
      <c r="AJ176">
        <v>9.61</v>
      </c>
      <c r="AK176">
        <v>31.7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T176">
        <v>0.01</v>
      </c>
      <c r="AU176" t="s">
        <v>19</v>
      </c>
      <c r="AV176">
        <v>0</v>
      </c>
      <c r="AW176">
        <v>2</v>
      </c>
      <c r="AX176">
        <v>45927075</v>
      </c>
      <c r="AY176">
        <v>1</v>
      </c>
      <c r="AZ176">
        <v>0</v>
      </c>
      <c r="BA176">
        <v>177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Y176*Source!I55</f>
        <v>0.00025</v>
      </c>
      <c r="CY176">
        <f>AB176</f>
        <v>1076.32</v>
      </c>
      <c r="CZ176">
        <f>AF176</f>
        <v>112</v>
      </c>
      <c r="DA176">
        <f>AJ176</f>
        <v>9.61</v>
      </c>
      <c r="DB176">
        <v>0</v>
      </c>
    </row>
    <row r="177" spans="1:106" ht="12.75">
      <c r="A177">
        <f>ROW(Source!A55)</f>
        <v>55</v>
      </c>
      <c r="B177">
        <v>45926640</v>
      </c>
      <c r="C177">
        <v>45927062</v>
      </c>
      <c r="D177">
        <v>30684901</v>
      </c>
      <c r="E177">
        <v>1</v>
      </c>
      <c r="F177">
        <v>1</v>
      </c>
      <c r="G177">
        <v>1</v>
      </c>
      <c r="H177">
        <v>2</v>
      </c>
      <c r="I177" t="s">
        <v>400</v>
      </c>
      <c r="J177" t="s">
        <v>485</v>
      </c>
      <c r="K177" t="s">
        <v>402</v>
      </c>
      <c r="L177">
        <v>1368</v>
      </c>
      <c r="N177">
        <v>1011</v>
      </c>
      <c r="O177" t="s">
        <v>341</v>
      </c>
      <c r="P177" t="s">
        <v>341</v>
      </c>
      <c r="Q177">
        <v>1</v>
      </c>
      <c r="W177">
        <v>0</v>
      </c>
      <c r="X177">
        <v>1230759911</v>
      </c>
      <c r="Y177">
        <v>0.0125</v>
      </c>
      <c r="AA177">
        <v>0</v>
      </c>
      <c r="AB177">
        <v>908.31</v>
      </c>
      <c r="AC177">
        <v>367.72</v>
      </c>
      <c r="AD177">
        <v>0</v>
      </c>
      <c r="AE177">
        <v>0</v>
      </c>
      <c r="AF177">
        <v>87.17</v>
      </c>
      <c r="AG177">
        <v>11.6</v>
      </c>
      <c r="AH177">
        <v>0</v>
      </c>
      <c r="AI177">
        <v>1</v>
      </c>
      <c r="AJ177">
        <v>10.42</v>
      </c>
      <c r="AK177">
        <v>31.7</v>
      </c>
      <c r="AL177">
        <v>1</v>
      </c>
      <c r="AN177">
        <v>0</v>
      </c>
      <c r="AO177">
        <v>1</v>
      </c>
      <c r="AP177">
        <v>1</v>
      </c>
      <c r="AQ177">
        <v>0</v>
      </c>
      <c r="AR177">
        <v>0</v>
      </c>
      <c r="AT177">
        <v>0.01</v>
      </c>
      <c r="AU177" t="s">
        <v>19</v>
      </c>
      <c r="AV177">
        <v>0</v>
      </c>
      <c r="AW177">
        <v>2</v>
      </c>
      <c r="AX177">
        <v>45927076</v>
      </c>
      <c r="AY177">
        <v>1</v>
      </c>
      <c r="AZ177">
        <v>0</v>
      </c>
      <c r="BA177">
        <v>178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Y177*Source!I55</f>
        <v>0.00025</v>
      </c>
      <c r="CY177">
        <f>AB177</f>
        <v>908.31</v>
      </c>
      <c r="CZ177">
        <f>AF177</f>
        <v>87.17</v>
      </c>
      <c r="DA177">
        <f>AJ177</f>
        <v>10.42</v>
      </c>
      <c r="DB177">
        <v>0</v>
      </c>
    </row>
    <row r="178" spans="1:106" ht="12.75">
      <c r="A178">
        <f>ROW(Source!A55)</f>
        <v>55</v>
      </c>
      <c r="B178">
        <v>45926640</v>
      </c>
      <c r="C178">
        <v>45927062</v>
      </c>
      <c r="D178">
        <v>30620090</v>
      </c>
      <c r="E178">
        <v>1</v>
      </c>
      <c r="F178">
        <v>1</v>
      </c>
      <c r="G178">
        <v>1</v>
      </c>
      <c r="H178">
        <v>3</v>
      </c>
      <c r="I178" t="s">
        <v>628</v>
      </c>
      <c r="J178" t="s">
        <v>629</v>
      </c>
      <c r="K178" t="s">
        <v>630</v>
      </c>
      <c r="L178">
        <v>1346</v>
      </c>
      <c r="N178">
        <v>1009</v>
      </c>
      <c r="O178" t="s">
        <v>351</v>
      </c>
      <c r="P178" t="s">
        <v>351</v>
      </c>
      <c r="Q178">
        <v>1</v>
      </c>
      <c r="W178">
        <v>0</v>
      </c>
      <c r="X178">
        <v>1502743759</v>
      </c>
      <c r="Y178">
        <v>1.5</v>
      </c>
      <c r="AA178">
        <v>456.22</v>
      </c>
      <c r="AB178">
        <v>0</v>
      </c>
      <c r="AC178">
        <v>0</v>
      </c>
      <c r="AD178">
        <v>0</v>
      </c>
      <c r="AE178">
        <v>24.41</v>
      </c>
      <c r="AF178">
        <v>0</v>
      </c>
      <c r="AG178">
        <v>0</v>
      </c>
      <c r="AH178">
        <v>0</v>
      </c>
      <c r="AI178">
        <v>18.69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1.5</v>
      </c>
      <c r="AV178">
        <v>0</v>
      </c>
      <c r="AW178">
        <v>2</v>
      </c>
      <c r="AX178">
        <v>45927077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Y178*Source!I55</f>
        <v>0.03</v>
      </c>
      <c r="CY178">
        <f>AA178</f>
        <v>456.22</v>
      </c>
      <c r="CZ178">
        <f>AE178</f>
        <v>24.41</v>
      </c>
      <c r="DA178">
        <f>AI178</f>
        <v>18.69</v>
      </c>
      <c r="DB178">
        <v>0</v>
      </c>
    </row>
    <row r="179" spans="1:106" ht="12.75">
      <c r="A179">
        <f>ROW(Source!A55)</f>
        <v>55</v>
      </c>
      <c r="B179">
        <v>45926640</v>
      </c>
      <c r="C179">
        <v>45927062</v>
      </c>
      <c r="D179">
        <v>30624227</v>
      </c>
      <c r="E179">
        <v>1</v>
      </c>
      <c r="F179">
        <v>1</v>
      </c>
      <c r="G179">
        <v>1</v>
      </c>
      <c r="H179">
        <v>3</v>
      </c>
      <c r="I179" t="s">
        <v>631</v>
      </c>
      <c r="J179" t="s">
        <v>632</v>
      </c>
      <c r="K179" t="s">
        <v>633</v>
      </c>
      <c r="L179">
        <v>1348</v>
      </c>
      <c r="N179">
        <v>1009</v>
      </c>
      <c r="O179" t="s">
        <v>406</v>
      </c>
      <c r="P179" t="s">
        <v>406</v>
      </c>
      <c r="Q179">
        <v>1000</v>
      </c>
      <c r="W179">
        <v>0</v>
      </c>
      <c r="X179">
        <v>-1701539228</v>
      </c>
      <c r="Y179">
        <v>0.0012</v>
      </c>
      <c r="AA179">
        <v>74150</v>
      </c>
      <c r="AB179">
        <v>0</v>
      </c>
      <c r="AC179">
        <v>0</v>
      </c>
      <c r="AD179">
        <v>0</v>
      </c>
      <c r="AE179">
        <v>14830</v>
      </c>
      <c r="AF179">
        <v>0</v>
      </c>
      <c r="AG179">
        <v>0</v>
      </c>
      <c r="AH179">
        <v>0</v>
      </c>
      <c r="AI179">
        <v>5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0.0012</v>
      </c>
      <c r="AV179">
        <v>0</v>
      </c>
      <c r="AW179">
        <v>2</v>
      </c>
      <c r="AX179">
        <v>45927078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Y179*Source!I55</f>
        <v>2.3999999999999997E-05</v>
      </c>
      <c r="CY179">
        <f>AA179</f>
        <v>74150</v>
      </c>
      <c r="CZ179">
        <f>AE179</f>
        <v>14830</v>
      </c>
      <c r="DA179">
        <f>AI179</f>
        <v>5</v>
      </c>
      <c r="DB179">
        <v>0</v>
      </c>
    </row>
    <row r="180" spans="1:106" ht="12.75">
      <c r="A180">
        <f>ROW(Source!A55)</f>
        <v>55</v>
      </c>
      <c r="B180">
        <v>45926640</v>
      </c>
      <c r="C180">
        <v>45927062</v>
      </c>
      <c r="D180">
        <v>30654299</v>
      </c>
      <c r="E180">
        <v>1</v>
      </c>
      <c r="F180">
        <v>1</v>
      </c>
      <c r="G180">
        <v>1</v>
      </c>
      <c r="H180">
        <v>3</v>
      </c>
      <c r="I180" t="s">
        <v>634</v>
      </c>
      <c r="J180" t="s">
        <v>635</v>
      </c>
      <c r="K180" t="s">
        <v>636</v>
      </c>
      <c r="L180">
        <v>1301</v>
      </c>
      <c r="N180">
        <v>1003</v>
      </c>
      <c r="O180" t="s">
        <v>85</v>
      </c>
      <c r="P180" t="s">
        <v>85</v>
      </c>
      <c r="Q180">
        <v>1</v>
      </c>
      <c r="W180">
        <v>0</v>
      </c>
      <c r="X180">
        <v>-351596656</v>
      </c>
      <c r="Y180">
        <v>99.8</v>
      </c>
      <c r="AA180">
        <v>175.94</v>
      </c>
      <c r="AB180">
        <v>0</v>
      </c>
      <c r="AC180">
        <v>0</v>
      </c>
      <c r="AD180">
        <v>0</v>
      </c>
      <c r="AE180">
        <v>39.36</v>
      </c>
      <c r="AF180">
        <v>0</v>
      </c>
      <c r="AG180">
        <v>0</v>
      </c>
      <c r="AH180">
        <v>0</v>
      </c>
      <c r="AI180">
        <v>4.47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99.8</v>
      </c>
      <c r="AV180">
        <v>0</v>
      </c>
      <c r="AW180">
        <v>2</v>
      </c>
      <c r="AX180">
        <v>45927080</v>
      </c>
      <c r="AY180">
        <v>1</v>
      </c>
      <c r="AZ180">
        <v>0</v>
      </c>
      <c r="BA180">
        <v>182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Y180*Source!I55</f>
        <v>1.996</v>
      </c>
      <c r="CY180">
        <f>AA180</f>
        <v>175.94</v>
      </c>
      <c r="CZ180">
        <f>AE180</f>
        <v>39.36</v>
      </c>
      <c r="DA180">
        <f>AI180</f>
        <v>4.47</v>
      </c>
      <c r="DB180">
        <v>0</v>
      </c>
    </row>
    <row r="181" spans="1:106" ht="12.75">
      <c r="A181">
        <f>ROW(Source!A55)</f>
        <v>55</v>
      </c>
      <c r="B181">
        <v>45926640</v>
      </c>
      <c r="C181">
        <v>45927062</v>
      </c>
      <c r="D181">
        <v>30660027</v>
      </c>
      <c r="E181">
        <v>1</v>
      </c>
      <c r="F181">
        <v>1</v>
      </c>
      <c r="G181">
        <v>1</v>
      </c>
      <c r="H181">
        <v>3</v>
      </c>
      <c r="I181" t="s">
        <v>385</v>
      </c>
      <c r="J181" t="s">
        <v>458</v>
      </c>
      <c r="K181" t="s">
        <v>387</v>
      </c>
      <c r="L181">
        <v>1339</v>
      </c>
      <c r="N181">
        <v>1007</v>
      </c>
      <c r="O181" t="s">
        <v>388</v>
      </c>
      <c r="P181" t="s">
        <v>388</v>
      </c>
      <c r="Q181">
        <v>1</v>
      </c>
      <c r="W181">
        <v>0</v>
      </c>
      <c r="X181">
        <v>619799737</v>
      </c>
      <c r="Y181">
        <v>0.39</v>
      </c>
      <c r="AA181">
        <v>22.2</v>
      </c>
      <c r="AB181">
        <v>0</v>
      </c>
      <c r="AC181">
        <v>0</v>
      </c>
      <c r="AD181">
        <v>0</v>
      </c>
      <c r="AE181">
        <v>2.44</v>
      </c>
      <c r="AF181">
        <v>0</v>
      </c>
      <c r="AG181">
        <v>0</v>
      </c>
      <c r="AH181">
        <v>0</v>
      </c>
      <c r="AI181">
        <v>9.1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0.39</v>
      </c>
      <c r="AV181">
        <v>0</v>
      </c>
      <c r="AW181">
        <v>2</v>
      </c>
      <c r="AX181">
        <v>45927082</v>
      </c>
      <c r="AY181">
        <v>1</v>
      </c>
      <c r="AZ181">
        <v>0</v>
      </c>
      <c r="BA181">
        <v>184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Y181*Source!I55</f>
        <v>0.0078000000000000005</v>
      </c>
      <c r="CY181">
        <f>AA181</f>
        <v>22.2</v>
      </c>
      <c r="CZ181">
        <f>AE181</f>
        <v>2.44</v>
      </c>
      <c r="DA181">
        <f>AI181</f>
        <v>9.1</v>
      </c>
      <c r="DB181">
        <v>0</v>
      </c>
    </row>
    <row r="182" spans="1:106" ht="12.75">
      <c r="A182">
        <f>ROW(Source!A56)</f>
        <v>56</v>
      </c>
      <c r="B182">
        <v>45926640</v>
      </c>
      <c r="C182">
        <v>45927083</v>
      </c>
      <c r="D182">
        <v>13668301</v>
      </c>
      <c r="E182">
        <v>1</v>
      </c>
      <c r="F182">
        <v>1</v>
      </c>
      <c r="G182">
        <v>1</v>
      </c>
      <c r="H182">
        <v>1</v>
      </c>
      <c r="I182" t="s">
        <v>637</v>
      </c>
      <c r="K182" t="s">
        <v>638</v>
      </c>
      <c r="L182">
        <v>1369</v>
      </c>
      <c r="N182">
        <v>1013</v>
      </c>
      <c r="O182" t="s">
        <v>335</v>
      </c>
      <c r="P182" t="s">
        <v>335</v>
      </c>
      <c r="Q182">
        <v>1</v>
      </c>
      <c r="W182">
        <v>0</v>
      </c>
      <c r="X182">
        <v>855544366</v>
      </c>
      <c r="Y182">
        <v>1.6905</v>
      </c>
      <c r="AA182">
        <v>0</v>
      </c>
      <c r="AB182">
        <v>0</v>
      </c>
      <c r="AC182">
        <v>0</v>
      </c>
      <c r="AD182">
        <v>9.07</v>
      </c>
      <c r="AE182">
        <v>0</v>
      </c>
      <c r="AF182">
        <v>0</v>
      </c>
      <c r="AG182">
        <v>0</v>
      </c>
      <c r="AH182">
        <v>9.07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1.47</v>
      </c>
      <c r="AU182" t="s">
        <v>20</v>
      </c>
      <c r="AV182">
        <v>1</v>
      </c>
      <c r="AW182">
        <v>2</v>
      </c>
      <c r="AX182">
        <v>45927092</v>
      </c>
      <c r="AY182">
        <v>1</v>
      </c>
      <c r="AZ182">
        <v>0</v>
      </c>
      <c r="BA182">
        <v>185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Y182*Source!I56</f>
        <v>11.833499999999999</v>
      </c>
      <c r="CY182">
        <f>AD182</f>
        <v>9.07</v>
      </c>
      <c r="CZ182">
        <f>AH182</f>
        <v>9.07</v>
      </c>
      <c r="DA182">
        <f>AL182</f>
        <v>1</v>
      </c>
      <c r="DB182">
        <v>0</v>
      </c>
    </row>
    <row r="183" spans="1:106" ht="12.75">
      <c r="A183">
        <f>ROW(Source!A56)</f>
        <v>56</v>
      </c>
      <c r="B183">
        <v>45926640</v>
      </c>
      <c r="C183">
        <v>45927083</v>
      </c>
      <c r="D183">
        <v>30682644</v>
      </c>
      <c r="E183">
        <v>1</v>
      </c>
      <c r="F183">
        <v>1</v>
      </c>
      <c r="G183">
        <v>1</v>
      </c>
      <c r="H183">
        <v>2</v>
      </c>
      <c r="I183" t="s">
        <v>517</v>
      </c>
      <c r="J183" t="s">
        <v>518</v>
      </c>
      <c r="K183" t="s">
        <v>519</v>
      </c>
      <c r="L183">
        <v>1368</v>
      </c>
      <c r="N183">
        <v>1011</v>
      </c>
      <c r="O183" t="s">
        <v>341</v>
      </c>
      <c r="P183" t="s">
        <v>341</v>
      </c>
      <c r="Q183">
        <v>1</v>
      </c>
      <c r="W183">
        <v>0</v>
      </c>
      <c r="X183">
        <v>1474986261</v>
      </c>
      <c r="Y183">
        <v>0.4375</v>
      </c>
      <c r="AA183">
        <v>0</v>
      </c>
      <c r="AB183">
        <v>60.26</v>
      </c>
      <c r="AC183">
        <v>0</v>
      </c>
      <c r="AD183">
        <v>0</v>
      </c>
      <c r="AE183">
        <v>0</v>
      </c>
      <c r="AF183">
        <v>8.1</v>
      </c>
      <c r="AG183">
        <v>0</v>
      </c>
      <c r="AH183">
        <v>0</v>
      </c>
      <c r="AI183">
        <v>1</v>
      </c>
      <c r="AJ183">
        <v>7.44</v>
      </c>
      <c r="AK183">
        <v>31.7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0.35</v>
      </c>
      <c r="AU183" t="s">
        <v>19</v>
      </c>
      <c r="AV183">
        <v>0</v>
      </c>
      <c r="AW183">
        <v>2</v>
      </c>
      <c r="AX183">
        <v>45927093</v>
      </c>
      <c r="AY183">
        <v>1</v>
      </c>
      <c r="AZ183">
        <v>0</v>
      </c>
      <c r="BA183">
        <v>186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Y183*Source!I56</f>
        <v>3.0625</v>
      </c>
      <c r="CY183">
        <f>AB183</f>
        <v>60.26</v>
      </c>
      <c r="CZ183">
        <f>AF183</f>
        <v>8.1</v>
      </c>
      <c r="DA183">
        <f>AJ183</f>
        <v>7.44</v>
      </c>
      <c r="DB183">
        <v>0</v>
      </c>
    </row>
    <row r="184" spans="1:106" ht="12.75">
      <c r="A184">
        <f>ROW(Source!A56)</f>
        <v>56</v>
      </c>
      <c r="B184">
        <v>45926640</v>
      </c>
      <c r="C184">
        <v>45927083</v>
      </c>
      <c r="D184">
        <v>30684901</v>
      </c>
      <c r="E184">
        <v>1</v>
      </c>
      <c r="F184">
        <v>1</v>
      </c>
      <c r="G184">
        <v>1</v>
      </c>
      <c r="H184">
        <v>2</v>
      </c>
      <c r="I184" t="s">
        <v>400</v>
      </c>
      <c r="J184" t="s">
        <v>485</v>
      </c>
      <c r="K184" t="s">
        <v>402</v>
      </c>
      <c r="L184">
        <v>1368</v>
      </c>
      <c r="N184">
        <v>1011</v>
      </c>
      <c r="O184" t="s">
        <v>341</v>
      </c>
      <c r="P184" t="s">
        <v>341</v>
      </c>
      <c r="Q184">
        <v>1</v>
      </c>
      <c r="W184">
        <v>0</v>
      </c>
      <c r="X184">
        <v>1230759911</v>
      </c>
      <c r="Y184">
        <v>0.0125</v>
      </c>
      <c r="AA184">
        <v>0</v>
      </c>
      <c r="AB184">
        <v>908.31</v>
      </c>
      <c r="AC184">
        <v>367.72</v>
      </c>
      <c r="AD184">
        <v>0</v>
      </c>
      <c r="AE184">
        <v>0</v>
      </c>
      <c r="AF184">
        <v>87.17</v>
      </c>
      <c r="AG184">
        <v>11.6</v>
      </c>
      <c r="AH184">
        <v>0</v>
      </c>
      <c r="AI184">
        <v>1</v>
      </c>
      <c r="AJ184">
        <v>10.42</v>
      </c>
      <c r="AK184">
        <v>31.7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0.01</v>
      </c>
      <c r="AU184" t="s">
        <v>19</v>
      </c>
      <c r="AV184">
        <v>0</v>
      </c>
      <c r="AW184">
        <v>2</v>
      </c>
      <c r="AX184">
        <v>45927094</v>
      </c>
      <c r="AY184">
        <v>1</v>
      </c>
      <c r="AZ184">
        <v>0</v>
      </c>
      <c r="BA184">
        <v>187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Y184*Source!I56</f>
        <v>0.08750000000000001</v>
      </c>
      <c r="CY184">
        <f>AB184</f>
        <v>908.31</v>
      </c>
      <c r="CZ184">
        <f>AF184</f>
        <v>87.17</v>
      </c>
      <c r="DA184">
        <f>AJ184</f>
        <v>10.42</v>
      </c>
      <c r="DB184">
        <v>0</v>
      </c>
    </row>
    <row r="185" spans="1:106" ht="12.75">
      <c r="A185">
        <f>ROW(Source!A56)</f>
        <v>56</v>
      </c>
      <c r="B185">
        <v>45926640</v>
      </c>
      <c r="C185">
        <v>45927083</v>
      </c>
      <c r="D185">
        <v>30623973</v>
      </c>
      <c r="E185">
        <v>1</v>
      </c>
      <c r="F185">
        <v>1</v>
      </c>
      <c r="G185">
        <v>1</v>
      </c>
      <c r="H185">
        <v>3</v>
      </c>
      <c r="I185" t="s">
        <v>520</v>
      </c>
      <c r="J185" t="s">
        <v>521</v>
      </c>
      <c r="K185" t="s">
        <v>522</v>
      </c>
      <c r="L185">
        <v>1348</v>
      </c>
      <c r="N185">
        <v>1009</v>
      </c>
      <c r="O185" t="s">
        <v>406</v>
      </c>
      <c r="P185" t="s">
        <v>406</v>
      </c>
      <c r="Q185">
        <v>1000</v>
      </c>
      <c r="W185">
        <v>0</v>
      </c>
      <c r="X185">
        <v>-2063358494</v>
      </c>
      <c r="Y185">
        <v>0.00014</v>
      </c>
      <c r="AA185">
        <v>93568.86</v>
      </c>
      <c r="AB185">
        <v>0</v>
      </c>
      <c r="AC185">
        <v>0</v>
      </c>
      <c r="AD185">
        <v>0</v>
      </c>
      <c r="AE185">
        <v>10362</v>
      </c>
      <c r="AF185">
        <v>0</v>
      </c>
      <c r="AG185">
        <v>0</v>
      </c>
      <c r="AH185">
        <v>0</v>
      </c>
      <c r="AI185">
        <v>9.03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0.00014</v>
      </c>
      <c r="AV185">
        <v>0</v>
      </c>
      <c r="AW185">
        <v>2</v>
      </c>
      <c r="AX185">
        <v>45927095</v>
      </c>
      <c r="AY185">
        <v>1</v>
      </c>
      <c r="AZ185">
        <v>0</v>
      </c>
      <c r="BA185">
        <v>188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Y185*Source!I56</f>
        <v>0.00098</v>
      </c>
      <c r="CY185">
        <f>AA185</f>
        <v>93568.86</v>
      </c>
      <c r="CZ185">
        <f>AE185</f>
        <v>10362</v>
      </c>
      <c r="DA185">
        <f>AI185</f>
        <v>9.03</v>
      </c>
      <c r="DB185">
        <v>0</v>
      </c>
    </row>
    <row r="186" spans="1:106" ht="12.75">
      <c r="A186">
        <f>ROW(Source!A56)</f>
        <v>56</v>
      </c>
      <c r="B186">
        <v>45926640</v>
      </c>
      <c r="C186">
        <v>45927083</v>
      </c>
      <c r="D186">
        <v>30624226</v>
      </c>
      <c r="E186">
        <v>1</v>
      </c>
      <c r="F186">
        <v>1</v>
      </c>
      <c r="G186">
        <v>1</v>
      </c>
      <c r="H186">
        <v>3</v>
      </c>
      <c r="I186" t="s">
        <v>639</v>
      </c>
      <c r="J186" t="s">
        <v>640</v>
      </c>
      <c r="K186" t="s">
        <v>641</v>
      </c>
      <c r="L186">
        <v>1348</v>
      </c>
      <c r="N186">
        <v>1009</v>
      </c>
      <c r="O186" t="s">
        <v>406</v>
      </c>
      <c r="P186" t="s">
        <v>406</v>
      </c>
      <c r="Q186">
        <v>1000</v>
      </c>
      <c r="W186">
        <v>0</v>
      </c>
      <c r="X186">
        <v>-215593005</v>
      </c>
      <c r="Y186">
        <v>0.0011</v>
      </c>
      <c r="AA186">
        <v>74929.47</v>
      </c>
      <c r="AB186">
        <v>0</v>
      </c>
      <c r="AC186">
        <v>0</v>
      </c>
      <c r="AD186">
        <v>0</v>
      </c>
      <c r="AE186">
        <v>15323</v>
      </c>
      <c r="AF186">
        <v>0</v>
      </c>
      <c r="AG186">
        <v>0</v>
      </c>
      <c r="AH186">
        <v>0</v>
      </c>
      <c r="AI186">
        <v>4.89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0.0011</v>
      </c>
      <c r="AV186">
        <v>0</v>
      </c>
      <c r="AW186">
        <v>2</v>
      </c>
      <c r="AX186">
        <v>45927096</v>
      </c>
      <c r="AY186">
        <v>1</v>
      </c>
      <c r="AZ186">
        <v>0</v>
      </c>
      <c r="BA186">
        <v>189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Y186*Source!I56</f>
        <v>0.0077</v>
      </c>
      <c r="CY186">
        <f>AA186</f>
        <v>74929.47</v>
      </c>
      <c r="CZ186">
        <f>AE186</f>
        <v>15323</v>
      </c>
      <c r="DA186">
        <f>AI186</f>
        <v>4.89</v>
      </c>
      <c r="DB186">
        <v>0</v>
      </c>
    </row>
    <row r="187" spans="1:106" ht="12.75">
      <c r="A187">
        <f>ROW(Source!A56)</f>
        <v>56</v>
      </c>
      <c r="B187">
        <v>45926640</v>
      </c>
      <c r="C187">
        <v>45927083</v>
      </c>
      <c r="D187">
        <v>30653055</v>
      </c>
      <c r="E187">
        <v>1</v>
      </c>
      <c r="F187">
        <v>1</v>
      </c>
      <c r="G187">
        <v>1</v>
      </c>
      <c r="H187">
        <v>3</v>
      </c>
      <c r="I187" t="s">
        <v>188</v>
      </c>
      <c r="J187" t="s">
        <v>190</v>
      </c>
      <c r="K187" t="s">
        <v>189</v>
      </c>
      <c r="L187">
        <v>1354</v>
      </c>
      <c r="N187">
        <v>1010</v>
      </c>
      <c r="O187" t="s">
        <v>133</v>
      </c>
      <c r="P187" t="s">
        <v>133</v>
      </c>
      <c r="Q187">
        <v>1</v>
      </c>
      <c r="W187">
        <v>0</v>
      </c>
      <c r="X187">
        <v>1571292714</v>
      </c>
      <c r="Y187">
        <v>1</v>
      </c>
      <c r="AA187">
        <v>543.3</v>
      </c>
      <c r="AB187">
        <v>0</v>
      </c>
      <c r="AC187">
        <v>0</v>
      </c>
      <c r="AD187">
        <v>0</v>
      </c>
      <c r="AE187">
        <v>120.2</v>
      </c>
      <c r="AF187">
        <v>0</v>
      </c>
      <c r="AG187">
        <v>0</v>
      </c>
      <c r="AH187">
        <v>0</v>
      </c>
      <c r="AI187">
        <v>4.52</v>
      </c>
      <c r="AJ187">
        <v>1</v>
      </c>
      <c r="AK187">
        <v>1</v>
      </c>
      <c r="AL187">
        <v>1</v>
      </c>
      <c r="AN187">
        <v>0</v>
      </c>
      <c r="AO187">
        <v>0</v>
      </c>
      <c r="AP187">
        <v>0</v>
      </c>
      <c r="AQ187">
        <v>0</v>
      </c>
      <c r="AR187">
        <v>0</v>
      </c>
      <c r="AT187">
        <v>1</v>
      </c>
      <c r="AV187">
        <v>0</v>
      </c>
      <c r="AW187">
        <v>1</v>
      </c>
      <c r="AX187">
        <v>-1</v>
      </c>
      <c r="AY187">
        <v>0</v>
      </c>
      <c r="AZ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Y187*Source!I56</f>
        <v>7</v>
      </c>
      <c r="CY187">
        <f>AA187</f>
        <v>543.3</v>
      </c>
      <c r="CZ187">
        <f>AE187</f>
        <v>120.2</v>
      </c>
      <c r="DA187">
        <f>AI187</f>
        <v>4.52</v>
      </c>
      <c r="DB187">
        <v>0</v>
      </c>
    </row>
    <row r="188" spans="1:106" ht="12.75">
      <c r="A188">
        <f>ROW(Source!A56)</f>
        <v>56</v>
      </c>
      <c r="B188">
        <v>45926640</v>
      </c>
      <c r="C188">
        <v>45927083</v>
      </c>
      <c r="D188">
        <v>30670590</v>
      </c>
      <c r="E188">
        <v>1</v>
      </c>
      <c r="F188">
        <v>1</v>
      </c>
      <c r="G188">
        <v>1</v>
      </c>
      <c r="H188">
        <v>3</v>
      </c>
      <c r="I188" t="s">
        <v>184</v>
      </c>
      <c r="J188" t="s">
        <v>186</v>
      </c>
      <c r="K188" t="s">
        <v>185</v>
      </c>
      <c r="L188">
        <v>1354</v>
      </c>
      <c r="N188">
        <v>1010</v>
      </c>
      <c r="O188" t="s">
        <v>133</v>
      </c>
      <c r="P188" t="s">
        <v>133</v>
      </c>
      <c r="Q188">
        <v>1</v>
      </c>
      <c r="W188">
        <v>1</v>
      </c>
      <c r="X188">
        <v>1804449115</v>
      </c>
      <c r="Y188">
        <v>-2</v>
      </c>
      <c r="AA188">
        <v>106.51</v>
      </c>
      <c r="AB188">
        <v>0</v>
      </c>
      <c r="AC188">
        <v>0</v>
      </c>
      <c r="AD188">
        <v>0</v>
      </c>
      <c r="AE188">
        <v>16.8</v>
      </c>
      <c r="AF188">
        <v>0</v>
      </c>
      <c r="AG188">
        <v>0</v>
      </c>
      <c r="AH188">
        <v>0</v>
      </c>
      <c r="AI188">
        <v>6.34</v>
      </c>
      <c r="AJ188">
        <v>1</v>
      </c>
      <c r="AK188">
        <v>1</v>
      </c>
      <c r="AL188">
        <v>1</v>
      </c>
      <c r="AN188">
        <v>0</v>
      </c>
      <c r="AO188">
        <v>0</v>
      </c>
      <c r="AP188">
        <v>0</v>
      </c>
      <c r="AQ188">
        <v>0</v>
      </c>
      <c r="AR188">
        <v>0</v>
      </c>
      <c r="AT188">
        <v>-2</v>
      </c>
      <c r="AV188">
        <v>0</v>
      </c>
      <c r="AW188">
        <v>2</v>
      </c>
      <c r="AX188">
        <v>45927098</v>
      </c>
      <c r="AY188">
        <v>1</v>
      </c>
      <c r="AZ188">
        <v>6144</v>
      </c>
      <c r="BA188">
        <v>191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Y188*Source!I56</f>
        <v>-14</v>
      </c>
      <c r="CY188">
        <f>AA188</f>
        <v>106.51</v>
      </c>
      <c r="CZ188">
        <f>AE188</f>
        <v>16.8</v>
      </c>
      <c r="DA188">
        <f>AI188</f>
        <v>6.34</v>
      </c>
      <c r="DB188">
        <v>0</v>
      </c>
    </row>
    <row r="189" spans="1:106" ht="12.75">
      <c r="A189">
        <f>ROW(Source!A56)</f>
        <v>56</v>
      </c>
      <c r="B189">
        <v>45926640</v>
      </c>
      <c r="C189">
        <v>45927083</v>
      </c>
      <c r="D189">
        <v>30681622</v>
      </c>
      <c r="E189">
        <v>1</v>
      </c>
      <c r="F189">
        <v>1</v>
      </c>
      <c r="G189">
        <v>1</v>
      </c>
      <c r="H189">
        <v>3</v>
      </c>
      <c r="I189" t="s">
        <v>642</v>
      </c>
      <c r="J189" t="s">
        <v>643</v>
      </c>
      <c r="K189" t="s">
        <v>644</v>
      </c>
      <c r="L189">
        <v>1356</v>
      </c>
      <c r="N189">
        <v>1010</v>
      </c>
      <c r="O189" t="s">
        <v>566</v>
      </c>
      <c r="P189" t="s">
        <v>566</v>
      </c>
      <c r="Q189">
        <v>1000</v>
      </c>
      <c r="W189">
        <v>0</v>
      </c>
      <c r="X189">
        <v>469352752</v>
      </c>
      <c r="Y189">
        <v>0.002</v>
      </c>
      <c r="AA189">
        <v>9763.53</v>
      </c>
      <c r="AB189">
        <v>0</v>
      </c>
      <c r="AC189">
        <v>0</v>
      </c>
      <c r="AD189">
        <v>0</v>
      </c>
      <c r="AE189">
        <v>3450.01</v>
      </c>
      <c r="AF189">
        <v>0</v>
      </c>
      <c r="AG189">
        <v>0</v>
      </c>
      <c r="AH189">
        <v>0</v>
      </c>
      <c r="AI189">
        <v>2.83</v>
      </c>
      <c r="AJ189">
        <v>1</v>
      </c>
      <c r="AK189">
        <v>1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0.002</v>
      </c>
      <c r="AV189">
        <v>0</v>
      </c>
      <c r="AW189">
        <v>2</v>
      </c>
      <c r="AX189">
        <v>45927099</v>
      </c>
      <c r="AY189">
        <v>1</v>
      </c>
      <c r="AZ189">
        <v>0</v>
      </c>
      <c r="BA189">
        <v>192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Y189*Source!I56</f>
        <v>0.014</v>
      </c>
      <c r="CY189">
        <f>AA189</f>
        <v>9763.53</v>
      </c>
      <c r="CZ189">
        <f>AE189</f>
        <v>3450.01</v>
      </c>
      <c r="DA189">
        <f>AI189</f>
        <v>2.83</v>
      </c>
      <c r="DB189">
        <v>0</v>
      </c>
    </row>
    <row r="190" spans="1:106" ht="12.75">
      <c r="A190">
        <f>ROW(Source!A59)</f>
        <v>59</v>
      </c>
      <c r="B190">
        <v>45926640</v>
      </c>
      <c r="C190">
        <v>45930108</v>
      </c>
      <c r="D190">
        <v>37728580</v>
      </c>
      <c r="E190">
        <v>1</v>
      </c>
      <c r="F190">
        <v>1</v>
      </c>
      <c r="G190">
        <v>1</v>
      </c>
      <c r="H190">
        <v>1</v>
      </c>
      <c r="I190" t="s">
        <v>645</v>
      </c>
      <c r="K190" t="s">
        <v>646</v>
      </c>
      <c r="L190">
        <v>1369</v>
      </c>
      <c r="N190">
        <v>1013</v>
      </c>
      <c r="O190" t="s">
        <v>335</v>
      </c>
      <c r="P190" t="s">
        <v>335</v>
      </c>
      <c r="Q190">
        <v>1</v>
      </c>
      <c r="W190">
        <v>0</v>
      </c>
      <c r="X190">
        <v>-573087009</v>
      </c>
      <c r="Y190">
        <v>1.0005</v>
      </c>
      <c r="AA190">
        <v>0</v>
      </c>
      <c r="AB190">
        <v>0</v>
      </c>
      <c r="AC190">
        <v>0</v>
      </c>
      <c r="AD190">
        <v>8.53</v>
      </c>
      <c r="AE190">
        <v>0</v>
      </c>
      <c r="AF190">
        <v>0</v>
      </c>
      <c r="AG190">
        <v>0</v>
      </c>
      <c r="AH190">
        <v>8.53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0.87</v>
      </c>
      <c r="AU190" t="s">
        <v>20</v>
      </c>
      <c r="AV190">
        <v>1</v>
      </c>
      <c r="AW190">
        <v>2</v>
      </c>
      <c r="AX190">
        <v>45930109</v>
      </c>
      <c r="AY190">
        <v>1</v>
      </c>
      <c r="AZ190">
        <v>0</v>
      </c>
      <c r="BA190">
        <v>193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Y190*Source!I59</f>
        <v>1.0005</v>
      </c>
      <c r="CY190">
        <f>AD190</f>
        <v>8.53</v>
      </c>
      <c r="CZ190">
        <f>AH190</f>
        <v>8.53</v>
      </c>
      <c r="DA190">
        <f>AL190</f>
        <v>1</v>
      </c>
      <c r="DB190">
        <v>0</v>
      </c>
    </row>
    <row r="191" spans="1:106" ht="12.75">
      <c r="A191">
        <f>ROW(Source!A59)</f>
        <v>59</v>
      </c>
      <c r="B191">
        <v>45926640</v>
      </c>
      <c r="C191">
        <v>45930108</v>
      </c>
      <c r="D191">
        <v>37726363</v>
      </c>
      <c r="E191">
        <v>1</v>
      </c>
      <c r="F191">
        <v>1</v>
      </c>
      <c r="G191">
        <v>1</v>
      </c>
      <c r="H191">
        <v>2</v>
      </c>
      <c r="I191" t="s">
        <v>496</v>
      </c>
      <c r="J191" t="s">
        <v>647</v>
      </c>
      <c r="K191" t="s">
        <v>498</v>
      </c>
      <c r="L191">
        <v>1368</v>
      </c>
      <c r="N191">
        <v>1011</v>
      </c>
      <c r="O191" t="s">
        <v>341</v>
      </c>
      <c r="P191" t="s">
        <v>341</v>
      </c>
      <c r="Q191">
        <v>1</v>
      </c>
      <c r="W191">
        <v>0</v>
      </c>
      <c r="X191">
        <v>-203591054</v>
      </c>
      <c r="Y191">
        <v>0.05</v>
      </c>
      <c r="AA191">
        <v>0</v>
      </c>
      <c r="AB191">
        <v>7.33</v>
      </c>
      <c r="AC191">
        <v>0</v>
      </c>
      <c r="AD191">
        <v>0</v>
      </c>
      <c r="AE191">
        <v>0</v>
      </c>
      <c r="AF191">
        <v>1.95</v>
      </c>
      <c r="AG191">
        <v>0</v>
      </c>
      <c r="AH191">
        <v>0</v>
      </c>
      <c r="AI191">
        <v>1</v>
      </c>
      <c r="AJ191">
        <v>3.76</v>
      </c>
      <c r="AK191">
        <v>31.7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0.04</v>
      </c>
      <c r="AU191" t="s">
        <v>19</v>
      </c>
      <c r="AV191">
        <v>0</v>
      </c>
      <c r="AW191">
        <v>2</v>
      </c>
      <c r="AX191">
        <v>45930110</v>
      </c>
      <c r="AY191">
        <v>1</v>
      </c>
      <c r="AZ191">
        <v>0</v>
      </c>
      <c r="BA191">
        <v>194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Y191*Source!I59</f>
        <v>0.05</v>
      </c>
      <c r="CY191">
        <f>AB191</f>
        <v>7.33</v>
      </c>
      <c r="CZ191">
        <f>AF191</f>
        <v>1.95</v>
      </c>
      <c r="DA191">
        <f>AJ191</f>
        <v>3.76</v>
      </c>
      <c r="DB191">
        <v>0</v>
      </c>
    </row>
    <row r="192" spans="1:106" ht="12.75">
      <c r="A192">
        <f>ROW(Source!A59)</f>
        <v>59</v>
      </c>
      <c r="B192">
        <v>45926640</v>
      </c>
      <c r="C192">
        <v>45930108</v>
      </c>
      <c r="D192">
        <v>37724602</v>
      </c>
      <c r="E192">
        <v>1</v>
      </c>
      <c r="F192">
        <v>1</v>
      </c>
      <c r="G192">
        <v>1</v>
      </c>
      <c r="H192">
        <v>3</v>
      </c>
      <c r="I192" t="s">
        <v>648</v>
      </c>
      <c r="J192" t="s">
        <v>649</v>
      </c>
      <c r="K192" t="s">
        <v>650</v>
      </c>
      <c r="L192">
        <v>1346</v>
      </c>
      <c r="N192">
        <v>1009</v>
      </c>
      <c r="O192" t="s">
        <v>351</v>
      </c>
      <c r="P192" t="s">
        <v>351</v>
      </c>
      <c r="Q192">
        <v>1</v>
      </c>
      <c r="W192">
        <v>0</v>
      </c>
      <c r="X192">
        <v>1470206232</v>
      </c>
      <c r="Y192">
        <v>0.002</v>
      </c>
      <c r="AA192">
        <v>765.95</v>
      </c>
      <c r="AB192">
        <v>0</v>
      </c>
      <c r="AC192">
        <v>0</v>
      </c>
      <c r="AD192">
        <v>0</v>
      </c>
      <c r="AE192">
        <v>445.32</v>
      </c>
      <c r="AF192">
        <v>0</v>
      </c>
      <c r="AG192">
        <v>0</v>
      </c>
      <c r="AH192">
        <v>0</v>
      </c>
      <c r="AI192">
        <v>1.72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0.002</v>
      </c>
      <c r="AV192">
        <v>0</v>
      </c>
      <c r="AW192">
        <v>2</v>
      </c>
      <c r="AX192">
        <v>45930111</v>
      </c>
      <c r="AY192">
        <v>1</v>
      </c>
      <c r="AZ192">
        <v>0</v>
      </c>
      <c r="BA192">
        <v>195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Y192*Source!I59</f>
        <v>0.002</v>
      </c>
      <c r="CY192">
        <f>AA192</f>
        <v>765.95</v>
      </c>
      <c r="CZ192">
        <f>AE192</f>
        <v>445.32</v>
      </c>
      <c r="DA192">
        <f>AI192</f>
        <v>1.72</v>
      </c>
      <c r="DB192">
        <v>0</v>
      </c>
    </row>
    <row r="193" spans="1:106" ht="12.75">
      <c r="A193">
        <f>ROW(Source!A59)</f>
        <v>59</v>
      </c>
      <c r="B193">
        <v>45926640</v>
      </c>
      <c r="C193">
        <v>45930108</v>
      </c>
      <c r="D193">
        <v>37725196</v>
      </c>
      <c r="E193">
        <v>1</v>
      </c>
      <c r="F193">
        <v>1</v>
      </c>
      <c r="G193">
        <v>1</v>
      </c>
      <c r="H193">
        <v>3</v>
      </c>
      <c r="I193" t="s">
        <v>161</v>
      </c>
      <c r="J193" t="s">
        <v>164</v>
      </c>
      <c r="K193" t="s">
        <v>162</v>
      </c>
      <c r="L193">
        <v>7577558</v>
      </c>
      <c r="N193">
        <v>1013</v>
      </c>
      <c r="O193" t="s">
        <v>163</v>
      </c>
      <c r="P193" t="s">
        <v>85</v>
      </c>
      <c r="Q193">
        <v>1</v>
      </c>
      <c r="W193">
        <v>0</v>
      </c>
      <c r="X193">
        <v>-1851080947</v>
      </c>
      <c r="Y193">
        <v>1.5</v>
      </c>
      <c r="AA193">
        <v>62.46</v>
      </c>
      <c r="AB193">
        <v>0</v>
      </c>
      <c r="AC193">
        <v>0</v>
      </c>
      <c r="AD193">
        <v>0</v>
      </c>
      <c r="AE193">
        <v>30.92</v>
      </c>
      <c r="AF193">
        <v>0</v>
      </c>
      <c r="AG193">
        <v>0</v>
      </c>
      <c r="AH193">
        <v>0</v>
      </c>
      <c r="AI193">
        <v>2.02</v>
      </c>
      <c r="AJ193">
        <v>1</v>
      </c>
      <c r="AK193">
        <v>1</v>
      </c>
      <c r="AL193">
        <v>1</v>
      </c>
      <c r="AN193">
        <v>0</v>
      </c>
      <c r="AO193">
        <v>0</v>
      </c>
      <c r="AP193">
        <v>0</v>
      </c>
      <c r="AQ193">
        <v>0</v>
      </c>
      <c r="AR193">
        <v>0</v>
      </c>
      <c r="AT193">
        <v>1.5</v>
      </c>
      <c r="AV193">
        <v>0</v>
      </c>
      <c r="AW193">
        <v>1</v>
      </c>
      <c r="AX193">
        <v>-1</v>
      </c>
      <c r="AY193">
        <v>0</v>
      </c>
      <c r="AZ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Y193*Source!I59</f>
        <v>1.5</v>
      </c>
      <c r="CY193">
        <f>AA193</f>
        <v>62.46</v>
      </c>
      <c r="CZ193">
        <f>AE193</f>
        <v>30.92</v>
      </c>
      <c r="DA193">
        <f>AI193</f>
        <v>2.02</v>
      </c>
      <c r="DB193">
        <v>0</v>
      </c>
    </row>
    <row r="194" spans="1:106" ht="12.75">
      <c r="A194">
        <f>ROW(Source!A59)</f>
        <v>59</v>
      </c>
      <c r="B194">
        <v>45926640</v>
      </c>
      <c r="C194">
        <v>45930108</v>
      </c>
      <c r="D194">
        <v>0</v>
      </c>
      <c r="E194">
        <v>0</v>
      </c>
      <c r="F194">
        <v>1</v>
      </c>
      <c r="G194">
        <v>1</v>
      </c>
      <c r="H194">
        <v>3</v>
      </c>
      <c r="I194" t="s">
        <v>199</v>
      </c>
      <c r="J194" t="s">
        <v>202</v>
      </c>
      <c r="K194" t="s">
        <v>200</v>
      </c>
      <c r="L194">
        <v>1371</v>
      </c>
      <c r="N194">
        <v>1013</v>
      </c>
      <c r="O194" t="s">
        <v>201</v>
      </c>
      <c r="P194" t="s">
        <v>201</v>
      </c>
      <c r="Q194">
        <v>1</v>
      </c>
      <c r="W194">
        <v>0</v>
      </c>
      <c r="X194">
        <v>-758333319</v>
      </c>
      <c r="Y194">
        <v>1</v>
      </c>
      <c r="AA194">
        <v>19816.79</v>
      </c>
      <c r="AB194">
        <v>0</v>
      </c>
      <c r="AC194">
        <v>0</v>
      </c>
      <c r="AD194">
        <v>0</v>
      </c>
      <c r="AE194">
        <v>19816.79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0</v>
      </c>
      <c r="AP194">
        <v>0</v>
      </c>
      <c r="AQ194">
        <v>0</v>
      </c>
      <c r="AR194">
        <v>0</v>
      </c>
      <c r="AT194">
        <v>1</v>
      </c>
      <c r="AV194">
        <v>0</v>
      </c>
      <c r="AW194">
        <v>1</v>
      </c>
      <c r="AX194">
        <v>-1</v>
      </c>
      <c r="AY194">
        <v>0</v>
      </c>
      <c r="AZ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Y194*Source!I59</f>
        <v>1</v>
      </c>
      <c r="CY194">
        <f>AA194</f>
        <v>19816.79</v>
      </c>
      <c r="CZ194">
        <f>AE194</f>
        <v>19816.79</v>
      </c>
      <c r="DA194">
        <f>AI194</f>
        <v>1</v>
      </c>
      <c r="DB194">
        <v>0</v>
      </c>
    </row>
    <row r="195" spans="1:106" ht="12.75">
      <c r="A195">
        <f>ROW(Source!A62)</f>
        <v>62</v>
      </c>
      <c r="B195">
        <v>45926640</v>
      </c>
      <c r="C195">
        <v>45927126</v>
      </c>
      <c r="D195">
        <v>30874667</v>
      </c>
      <c r="E195">
        <v>1</v>
      </c>
      <c r="F195">
        <v>1</v>
      </c>
      <c r="G195">
        <v>1</v>
      </c>
      <c r="H195">
        <v>1</v>
      </c>
      <c r="I195" t="s">
        <v>651</v>
      </c>
      <c r="K195" t="s">
        <v>652</v>
      </c>
      <c r="L195">
        <v>1369</v>
      </c>
      <c r="N195">
        <v>1013</v>
      </c>
      <c r="O195" t="s">
        <v>335</v>
      </c>
      <c r="P195" t="s">
        <v>335</v>
      </c>
      <c r="Q195">
        <v>1</v>
      </c>
      <c r="W195">
        <v>0</v>
      </c>
      <c r="X195">
        <v>931378261</v>
      </c>
      <c r="Y195">
        <v>70.64</v>
      </c>
      <c r="AA195">
        <v>0</v>
      </c>
      <c r="AB195">
        <v>0</v>
      </c>
      <c r="AC195">
        <v>0</v>
      </c>
      <c r="AD195">
        <v>9.92</v>
      </c>
      <c r="AE195">
        <v>0</v>
      </c>
      <c r="AF195">
        <v>0</v>
      </c>
      <c r="AG195">
        <v>0</v>
      </c>
      <c r="AH195">
        <v>9.92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70.64</v>
      </c>
      <c r="AV195">
        <v>1</v>
      </c>
      <c r="AW195">
        <v>2</v>
      </c>
      <c r="AX195">
        <v>45927137</v>
      </c>
      <c r="AY195">
        <v>1</v>
      </c>
      <c r="AZ195">
        <v>0</v>
      </c>
      <c r="BA195">
        <v>198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Y195*Source!I62</f>
        <v>1.4128</v>
      </c>
      <c r="CY195">
        <f>AD195</f>
        <v>9.92</v>
      </c>
      <c r="CZ195">
        <f>AH195</f>
        <v>9.92</v>
      </c>
      <c r="DA195">
        <f>AL195</f>
        <v>1</v>
      </c>
      <c r="DB195">
        <v>0</v>
      </c>
    </row>
    <row r="196" spans="1:106" ht="12.75">
      <c r="A196">
        <f>ROW(Source!A62)</f>
        <v>62</v>
      </c>
      <c r="B196">
        <v>45926640</v>
      </c>
      <c r="C196">
        <v>45927126</v>
      </c>
      <c r="D196">
        <v>121548</v>
      </c>
      <c r="E196">
        <v>1</v>
      </c>
      <c r="F196">
        <v>1</v>
      </c>
      <c r="G196">
        <v>1</v>
      </c>
      <c r="H196">
        <v>1</v>
      </c>
      <c r="I196" t="s">
        <v>32</v>
      </c>
      <c r="K196" t="s">
        <v>336</v>
      </c>
      <c r="L196">
        <v>608254</v>
      </c>
      <c r="N196">
        <v>1013</v>
      </c>
      <c r="O196" t="s">
        <v>337</v>
      </c>
      <c r="P196" t="s">
        <v>337</v>
      </c>
      <c r="Q196">
        <v>1</v>
      </c>
      <c r="W196">
        <v>0</v>
      </c>
      <c r="X196">
        <v>-185737400</v>
      </c>
      <c r="Y196">
        <v>0.88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1</v>
      </c>
      <c r="AK196">
        <v>1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0.88</v>
      </c>
      <c r="AV196">
        <v>2</v>
      </c>
      <c r="AW196">
        <v>2</v>
      </c>
      <c r="AX196">
        <v>45927138</v>
      </c>
      <c r="AY196">
        <v>1</v>
      </c>
      <c r="AZ196">
        <v>0</v>
      </c>
      <c r="BA196">
        <v>199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Y196*Source!I62</f>
        <v>0.0176</v>
      </c>
      <c r="CY196">
        <f>AD196</f>
        <v>0</v>
      </c>
      <c r="CZ196">
        <f>AH196</f>
        <v>0</v>
      </c>
      <c r="DA196">
        <f>AL196</f>
        <v>1</v>
      </c>
      <c r="DB196">
        <v>0</v>
      </c>
    </row>
    <row r="197" spans="1:106" ht="12.75">
      <c r="A197">
        <f>ROW(Source!A62)</f>
        <v>62</v>
      </c>
      <c r="B197">
        <v>45926640</v>
      </c>
      <c r="C197">
        <v>45927126</v>
      </c>
      <c r="D197">
        <v>30682349</v>
      </c>
      <c r="E197">
        <v>1</v>
      </c>
      <c r="F197">
        <v>1</v>
      </c>
      <c r="G197">
        <v>1</v>
      </c>
      <c r="H197">
        <v>2</v>
      </c>
      <c r="I197" t="s">
        <v>653</v>
      </c>
      <c r="J197" t="s">
        <v>654</v>
      </c>
      <c r="K197" t="s">
        <v>655</v>
      </c>
      <c r="L197">
        <v>1368</v>
      </c>
      <c r="N197">
        <v>1011</v>
      </c>
      <c r="O197" t="s">
        <v>341</v>
      </c>
      <c r="P197" t="s">
        <v>341</v>
      </c>
      <c r="Q197">
        <v>1</v>
      </c>
      <c r="W197">
        <v>0</v>
      </c>
      <c r="X197">
        <v>783836208</v>
      </c>
      <c r="Y197">
        <v>0.88</v>
      </c>
      <c r="AA197">
        <v>0</v>
      </c>
      <c r="AB197">
        <v>1089.32</v>
      </c>
      <c r="AC197">
        <v>427.95</v>
      </c>
      <c r="AD197">
        <v>0</v>
      </c>
      <c r="AE197">
        <v>0</v>
      </c>
      <c r="AF197">
        <v>134.65</v>
      </c>
      <c r="AG197">
        <v>13.5</v>
      </c>
      <c r="AH197">
        <v>0</v>
      </c>
      <c r="AI197">
        <v>1</v>
      </c>
      <c r="AJ197">
        <v>8.09</v>
      </c>
      <c r="AK197">
        <v>31.7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0.88</v>
      </c>
      <c r="AV197">
        <v>0</v>
      </c>
      <c r="AW197">
        <v>2</v>
      </c>
      <c r="AX197">
        <v>45927139</v>
      </c>
      <c r="AY197">
        <v>1</v>
      </c>
      <c r="AZ197">
        <v>0</v>
      </c>
      <c r="BA197">
        <v>200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Y197*Source!I62</f>
        <v>0.0176</v>
      </c>
      <c r="CY197">
        <f>AB197</f>
        <v>1089.32</v>
      </c>
      <c r="CZ197">
        <f>AF197</f>
        <v>134.65</v>
      </c>
      <c r="DA197">
        <f>AJ197</f>
        <v>8.09</v>
      </c>
      <c r="DB197">
        <v>0</v>
      </c>
    </row>
    <row r="198" spans="1:106" ht="12.75">
      <c r="A198">
        <f>ROW(Source!A62)</f>
        <v>62</v>
      </c>
      <c r="B198">
        <v>45926640</v>
      </c>
      <c r="C198">
        <v>45927126</v>
      </c>
      <c r="D198">
        <v>30684488</v>
      </c>
      <c r="E198">
        <v>1</v>
      </c>
      <c r="F198">
        <v>1</v>
      </c>
      <c r="G198">
        <v>1</v>
      </c>
      <c r="H198">
        <v>2</v>
      </c>
      <c r="I198" t="s">
        <v>496</v>
      </c>
      <c r="J198" t="s">
        <v>497</v>
      </c>
      <c r="K198" t="s">
        <v>498</v>
      </c>
      <c r="L198">
        <v>1368</v>
      </c>
      <c r="N198">
        <v>1011</v>
      </c>
      <c r="O198" t="s">
        <v>341</v>
      </c>
      <c r="P198" t="s">
        <v>341</v>
      </c>
      <c r="Q198">
        <v>1</v>
      </c>
      <c r="W198">
        <v>0</v>
      </c>
      <c r="X198">
        <v>-1867053656</v>
      </c>
      <c r="Y198">
        <v>16.38</v>
      </c>
      <c r="AA198">
        <v>0</v>
      </c>
      <c r="AB198">
        <v>7.33</v>
      </c>
      <c r="AC198">
        <v>0</v>
      </c>
      <c r="AD198">
        <v>0</v>
      </c>
      <c r="AE198">
        <v>0</v>
      </c>
      <c r="AF198">
        <v>1.95</v>
      </c>
      <c r="AG198">
        <v>0</v>
      </c>
      <c r="AH198">
        <v>0</v>
      </c>
      <c r="AI198">
        <v>1</v>
      </c>
      <c r="AJ198">
        <v>3.76</v>
      </c>
      <c r="AK198">
        <v>31.7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16.38</v>
      </c>
      <c r="AV198">
        <v>0</v>
      </c>
      <c r="AW198">
        <v>2</v>
      </c>
      <c r="AX198">
        <v>45927140</v>
      </c>
      <c r="AY198">
        <v>1</v>
      </c>
      <c r="AZ198">
        <v>0</v>
      </c>
      <c r="BA198">
        <v>201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Y198*Source!I62</f>
        <v>0.3276</v>
      </c>
      <c r="CY198">
        <f>AB198</f>
        <v>7.33</v>
      </c>
      <c r="CZ198">
        <f>AF198</f>
        <v>1.95</v>
      </c>
      <c r="DA198">
        <f>AJ198</f>
        <v>3.76</v>
      </c>
      <c r="DB198">
        <v>0</v>
      </c>
    </row>
    <row r="199" spans="1:106" ht="12.75">
      <c r="A199">
        <f>ROW(Source!A62)</f>
        <v>62</v>
      </c>
      <c r="B199">
        <v>45926640</v>
      </c>
      <c r="C199">
        <v>45927126</v>
      </c>
      <c r="D199">
        <v>30684901</v>
      </c>
      <c r="E199">
        <v>1</v>
      </c>
      <c r="F199">
        <v>1</v>
      </c>
      <c r="G199">
        <v>1</v>
      </c>
      <c r="H199">
        <v>2</v>
      </c>
      <c r="I199" t="s">
        <v>400</v>
      </c>
      <c r="J199" t="s">
        <v>485</v>
      </c>
      <c r="K199" t="s">
        <v>402</v>
      </c>
      <c r="L199">
        <v>1368</v>
      </c>
      <c r="N199">
        <v>1011</v>
      </c>
      <c r="O199" t="s">
        <v>341</v>
      </c>
      <c r="P199" t="s">
        <v>341</v>
      </c>
      <c r="Q199">
        <v>1</v>
      </c>
      <c r="W199">
        <v>0</v>
      </c>
      <c r="X199">
        <v>1230759911</v>
      </c>
      <c r="Y199">
        <v>0.87</v>
      </c>
      <c r="AA199">
        <v>0</v>
      </c>
      <c r="AB199">
        <v>908.31</v>
      </c>
      <c r="AC199">
        <v>367.72</v>
      </c>
      <c r="AD199">
        <v>0</v>
      </c>
      <c r="AE199">
        <v>0</v>
      </c>
      <c r="AF199">
        <v>87.17</v>
      </c>
      <c r="AG199">
        <v>11.6</v>
      </c>
      <c r="AH199">
        <v>0</v>
      </c>
      <c r="AI199">
        <v>1</v>
      </c>
      <c r="AJ199">
        <v>10.42</v>
      </c>
      <c r="AK199">
        <v>31.7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0.87</v>
      </c>
      <c r="AV199">
        <v>0</v>
      </c>
      <c r="AW199">
        <v>2</v>
      </c>
      <c r="AX199">
        <v>45927141</v>
      </c>
      <c r="AY199">
        <v>1</v>
      </c>
      <c r="AZ199">
        <v>0</v>
      </c>
      <c r="BA199">
        <v>202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Y199*Source!I62</f>
        <v>0.0174</v>
      </c>
      <c r="CY199">
        <f>AB199</f>
        <v>908.31</v>
      </c>
      <c r="CZ199">
        <f>AF199</f>
        <v>87.17</v>
      </c>
      <c r="DA199">
        <f>AJ199</f>
        <v>10.42</v>
      </c>
      <c r="DB199">
        <v>0</v>
      </c>
    </row>
    <row r="200" spans="1:106" ht="12.75">
      <c r="A200">
        <f>ROW(Source!A62)</f>
        <v>62</v>
      </c>
      <c r="B200">
        <v>45926640</v>
      </c>
      <c r="C200">
        <v>45927126</v>
      </c>
      <c r="D200">
        <v>30624256</v>
      </c>
      <c r="E200">
        <v>1</v>
      </c>
      <c r="F200">
        <v>1</v>
      </c>
      <c r="G200">
        <v>1</v>
      </c>
      <c r="H200">
        <v>3</v>
      </c>
      <c r="I200" t="s">
        <v>656</v>
      </c>
      <c r="J200" t="s">
        <v>657</v>
      </c>
      <c r="K200" t="s">
        <v>658</v>
      </c>
      <c r="L200">
        <v>1348</v>
      </c>
      <c r="N200">
        <v>1009</v>
      </c>
      <c r="O200" t="s">
        <v>406</v>
      </c>
      <c r="P200" t="s">
        <v>406</v>
      </c>
      <c r="Q200">
        <v>1000</v>
      </c>
      <c r="W200">
        <v>0</v>
      </c>
      <c r="X200">
        <v>262715373</v>
      </c>
      <c r="Y200">
        <v>0.00306</v>
      </c>
      <c r="AA200">
        <v>111869.91</v>
      </c>
      <c r="AB200">
        <v>0</v>
      </c>
      <c r="AC200">
        <v>0</v>
      </c>
      <c r="AD200">
        <v>0</v>
      </c>
      <c r="AE200">
        <v>12429.99</v>
      </c>
      <c r="AF200">
        <v>0</v>
      </c>
      <c r="AG200">
        <v>0</v>
      </c>
      <c r="AH200">
        <v>0</v>
      </c>
      <c r="AI200">
        <v>9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0.00306</v>
      </c>
      <c r="AV200">
        <v>0</v>
      </c>
      <c r="AW200">
        <v>2</v>
      </c>
      <c r="AX200">
        <v>45927142</v>
      </c>
      <c r="AY200">
        <v>1</v>
      </c>
      <c r="AZ200">
        <v>0</v>
      </c>
      <c r="BA200">
        <v>203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Y200*Source!I62</f>
        <v>6.12E-05</v>
      </c>
      <c r="CY200">
        <f>AA200</f>
        <v>111869.91</v>
      </c>
      <c r="CZ200">
        <f>AE200</f>
        <v>12429.99</v>
      </c>
      <c r="DA200">
        <f>AI200</f>
        <v>9</v>
      </c>
      <c r="DB200">
        <v>0</v>
      </c>
    </row>
    <row r="201" spans="1:106" ht="12.75">
      <c r="A201">
        <f>ROW(Source!A62)</f>
        <v>62</v>
      </c>
      <c r="B201">
        <v>45926640</v>
      </c>
      <c r="C201">
        <v>45927126</v>
      </c>
      <c r="D201">
        <v>30620825</v>
      </c>
      <c r="E201">
        <v>1</v>
      </c>
      <c r="F201">
        <v>1</v>
      </c>
      <c r="G201">
        <v>1</v>
      </c>
      <c r="H201">
        <v>3</v>
      </c>
      <c r="I201" t="s">
        <v>659</v>
      </c>
      <c r="J201" t="s">
        <v>660</v>
      </c>
      <c r="K201" t="s">
        <v>661</v>
      </c>
      <c r="L201">
        <v>1346</v>
      </c>
      <c r="N201">
        <v>1009</v>
      </c>
      <c r="O201" t="s">
        <v>351</v>
      </c>
      <c r="P201" t="s">
        <v>351</v>
      </c>
      <c r="Q201">
        <v>1</v>
      </c>
      <c r="W201">
        <v>0</v>
      </c>
      <c r="X201">
        <v>-1294780295</v>
      </c>
      <c r="Y201">
        <v>0.31</v>
      </c>
      <c r="AA201">
        <v>100.04</v>
      </c>
      <c r="AB201">
        <v>0</v>
      </c>
      <c r="AC201">
        <v>0</v>
      </c>
      <c r="AD201">
        <v>0</v>
      </c>
      <c r="AE201">
        <v>30.5</v>
      </c>
      <c r="AF201">
        <v>0</v>
      </c>
      <c r="AG201">
        <v>0</v>
      </c>
      <c r="AH201">
        <v>0</v>
      </c>
      <c r="AI201">
        <v>3.28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0.31</v>
      </c>
      <c r="AV201">
        <v>0</v>
      </c>
      <c r="AW201">
        <v>2</v>
      </c>
      <c r="AX201">
        <v>45927143</v>
      </c>
      <c r="AY201">
        <v>1</v>
      </c>
      <c r="AZ201">
        <v>0</v>
      </c>
      <c r="BA201">
        <v>204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Y201*Source!I62</f>
        <v>0.0062</v>
      </c>
      <c r="CY201">
        <f>AA201</f>
        <v>100.04</v>
      </c>
      <c r="CZ201">
        <f>AE201</f>
        <v>30.5</v>
      </c>
      <c r="DA201">
        <f>AI201</f>
        <v>3.28</v>
      </c>
      <c r="DB201">
        <v>0</v>
      </c>
    </row>
    <row r="202" spans="1:106" ht="12.75">
      <c r="A202">
        <f>ROW(Source!A62)</f>
        <v>62</v>
      </c>
      <c r="B202">
        <v>45926640</v>
      </c>
      <c r="C202">
        <v>45927126</v>
      </c>
      <c r="D202">
        <v>30624457</v>
      </c>
      <c r="E202">
        <v>1</v>
      </c>
      <c r="F202">
        <v>1</v>
      </c>
      <c r="G202">
        <v>1</v>
      </c>
      <c r="H202">
        <v>3</v>
      </c>
      <c r="I202" t="s">
        <v>662</v>
      </c>
      <c r="J202" t="s">
        <v>663</v>
      </c>
      <c r="K202" t="s">
        <v>664</v>
      </c>
      <c r="L202">
        <v>1355</v>
      </c>
      <c r="N202">
        <v>1010</v>
      </c>
      <c r="O202" t="s">
        <v>206</v>
      </c>
      <c r="P202" t="s">
        <v>206</v>
      </c>
      <c r="Q202">
        <v>100</v>
      </c>
      <c r="W202">
        <v>0</v>
      </c>
      <c r="X202">
        <v>1627582661</v>
      </c>
      <c r="Y202">
        <v>4.08</v>
      </c>
      <c r="AA202">
        <v>54.33</v>
      </c>
      <c r="AB202">
        <v>0</v>
      </c>
      <c r="AC202">
        <v>0</v>
      </c>
      <c r="AD202">
        <v>0</v>
      </c>
      <c r="AE202">
        <v>86.24</v>
      </c>
      <c r="AF202">
        <v>0</v>
      </c>
      <c r="AG202">
        <v>0</v>
      </c>
      <c r="AH202">
        <v>0</v>
      </c>
      <c r="AI202">
        <v>0.63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4.08</v>
      </c>
      <c r="AV202">
        <v>0</v>
      </c>
      <c r="AW202">
        <v>2</v>
      </c>
      <c r="AX202">
        <v>45927144</v>
      </c>
      <c r="AY202">
        <v>1</v>
      </c>
      <c r="AZ202">
        <v>0</v>
      </c>
      <c r="BA202">
        <v>205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Y202*Source!I62</f>
        <v>0.0816</v>
      </c>
      <c r="CY202">
        <f>AA202</f>
        <v>54.33</v>
      </c>
      <c r="CZ202">
        <f>AE202</f>
        <v>86.24</v>
      </c>
      <c r="DA202">
        <f>AI202</f>
        <v>0.63</v>
      </c>
      <c r="DB202">
        <v>0</v>
      </c>
    </row>
    <row r="203" spans="1:106" ht="12.75">
      <c r="A203">
        <f>ROW(Source!A62)</f>
        <v>62</v>
      </c>
      <c r="B203">
        <v>45926640</v>
      </c>
      <c r="C203">
        <v>45927126</v>
      </c>
      <c r="D203">
        <v>30674098</v>
      </c>
      <c r="E203">
        <v>1</v>
      </c>
      <c r="F203">
        <v>1</v>
      </c>
      <c r="G203">
        <v>1</v>
      </c>
      <c r="H203">
        <v>3</v>
      </c>
      <c r="I203" t="s">
        <v>665</v>
      </c>
      <c r="J203" t="s">
        <v>666</v>
      </c>
      <c r="K203" t="s">
        <v>667</v>
      </c>
      <c r="L203">
        <v>1355</v>
      </c>
      <c r="N203">
        <v>1010</v>
      </c>
      <c r="O203" t="s">
        <v>206</v>
      </c>
      <c r="P203" t="s">
        <v>206</v>
      </c>
      <c r="Q203">
        <v>100</v>
      </c>
      <c r="W203">
        <v>0</v>
      </c>
      <c r="X203">
        <v>1318371980</v>
      </c>
      <c r="Y203">
        <v>1.02</v>
      </c>
      <c r="AA203">
        <v>783</v>
      </c>
      <c r="AB203">
        <v>0</v>
      </c>
      <c r="AC203">
        <v>0</v>
      </c>
      <c r="AD203">
        <v>0</v>
      </c>
      <c r="AE203">
        <v>100</v>
      </c>
      <c r="AF203">
        <v>0</v>
      </c>
      <c r="AG203">
        <v>0</v>
      </c>
      <c r="AH203">
        <v>0</v>
      </c>
      <c r="AI203">
        <v>7.83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1.02</v>
      </c>
      <c r="AV203">
        <v>0</v>
      </c>
      <c r="AW203">
        <v>2</v>
      </c>
      <c r="AX203">
        <v>45927145</v>
      </c>
      <c r="AY203">
        <v>1</v>
      </c>
      <c r="AZ203">
        <v>0</v>
      </c>
      <c r="BA203">
        <v>206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Y203*Source!I62</f>
        <v>0.0204</v>
      </c>
      <c r="CY203">
        <f>AA203</f>
        <v>783</v>
      </c>
      <c r="CZ203">
        <f>AE203</f>
        <v>100</v>
      </c>
      <c r="DA203">
        <f>AI203</f>
        <v>7.83</v>
      </c>
      <c r="DB203">
        <v>0</v>
      </c>
    </row>
    <row r="204" spans="1:106" ht="12.75">
      <c r="A204">
        <f>ROW(Source!A62)</f>
        <v>62</v>
      </c>
      <c r="B204">
        <v>45926640</v>
      </c>
      <c r="C204">
        <v>45927126</v>
      </c>
      <c r="D204">
        <v>30681795</v>
      </c>
      <c r="E204">
        <v>1</v>
      </c>
      <c r="F204">
        <v>1</v>
      </c>
      <c r="G204">
        <v>1</v>
      </c>
      <c r="H204">
        <v>3</v>
      </c>
      <c r="I204" t="s">
        <v>668</v>
      </c>
      <c r="J204" t="s">
        <v>669</v>
      </c>
      <c r="K204" t="s">
        <v>670</v>
      </c>
      <c r="L204">
        <v>1374</v>
      </c>
      <c r="N204">
        <v>1013</v>
      </c>
      <c r="O204" t="s">
        <v>671</v>
      </c>
      <c r="P204" t="s">
        <v>671</v>
      </c>
      <c r="Q204">
        <v>1</v>
      </c>
      <c r="W204">
        <v>0</v>
      </c>
      <c r="X204">
        <v>-915781824</v>
      </c>
      <c r="Y204">
        <v>14.01</v>
      </c>
      <c r="AA204">
        <v>1</v>
      </c>
      <c r="AB204">
        <v>0</v>
      </c>
      <c r="AC204">
        <v>0</v>
      </c>
      <c r="AD204">
        <v>0</v>
      </c>
      <c r="AE204">
        <v>1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14.01</v>
      </c>
      <c r="AV204">
        <v>0</v>
      </c>
      <c r="AW204">
        <v>2</v>
      </c>
      <c r="AX204">
        <v>45927146</v>
      </c>
      <c r="AY204">
        <v>1</v>
      </c>
      <c r="AZ204">
        <v>0</v>
      </c>
      <c r="BA204">
        <v>207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Y204*Source!I62</f>
        <v>0.2802</v>
      </c>
      <c r="CY204">
        <f>AA204</f>
        <v>1</v>
      </c>
      <c r="CZ204">
        <f>AE204</f>
        <v>1</v>
      </c>
      <c r="DA204">
        <f>AI204</f>
        <v>1</v>
      </c>
      <c r="DB20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0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45926717</v>
      </c>
      <c r="C1">
        <v>45926697</v>
      </c>
      <c r="D1">
        <v>37729070</v>
      </c>
      <c r="E1">
        <v>1</v>
      </c>
      <c r="F1">
        <v>1</v>
      </c>
      <c r="G1">
        <v>1</v>
      </c>
      <c r="H1">
        <v>1</v>
      </c>
      <c r="I1" t="s">
        <v>333</v>
      </c>
      <c r="K1" t="s">
        <v>334</v>
      </c>
      <c r="L1">
        <v>1369</v>
      </c>
      <c r="N1">
        <v>1013</v>
      </c>
      <c r="O1" t="s">
        <v>335</v>
      </c>
      <c r="P1" t="s">
        <v>335</v>
      </c>
      <c r="Q1">
        <v>1</v>
      </c>
      <c r="X1">
        <v>80.77</v>
      </c>
      <c r="Y1">
        <v>0</v>
      </c>
      <c r="Z1">
        <v>0</v>
      </c>
      <c r="AA1">
        <v>0</v>
      </c>
      <c r="AB1">
        <v>8.97</v>
      </c>
      <c r="AC1">
        <v>0</v>
      </c>
      <c r="AD1">
        <v>1</v>
      </c>
      <c r="AE1">
        <v>1</v>
      </c>
      <c r="AF1" t="s">
        <v>20</v>
      </c>
      <c r="AG1">
        <v>92.8855</v>
      </c>
      <c r="AH1">
        <v>2</v>
      </c>
      <c r="AI1">
        <v>45926698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45926718</v>
      </c>
      <c r="C2">
        <v>45926697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336</v>
      </c>
      <c r="L2">
        <v>608254</v>
      </c>
      <c r="N2">
        <v>1013</v>
      </c>
      <c r="O2" t="s">
        <v>337</v>
      </c>
      <c r="P2" t="s">
        <v>337</v>
      </c>
      <c r="Q2">
        <v>1</v>
      </c>
      <c r="X2">
        <v>0.14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0.17500000000000002</v>
      </c>
      <c r="AH2">
        <v>2</v>
      </c>
      <c r="AI2">
        <v>45926699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45926719</v>
      </c>
      <c r="C3">
        <v>45926697</v>
      </c>
      <c r="D3">
        <v>37726181</v>
      </c>
      <c r="E3">
        <v>1</v>
      </c>
      <c r="F3">
        <v>1</v>
      </c>
      <c r="G3">
        <v>1</v>
      </c>
      <c r="H3">
        <v>2</v>
      </c>
      <c r="I3" t="s">
        <v>338</v>
      </c>
      <c r="J3" t="s">
        <v>339</v>
      </c>
      <c r="K3" t="s">
        <v>340</v>
      </c>
      <c r="L3">
        <v>1368</v>
      </c>
      <c r="N3">
        <v>1011</v>
      </c>
      <c r="O3" t="s">
        <v>341</v>
      </c>
      <c r="P3" t="s">
        <v>341</v>
      </c>
      <c r="Q3">
        <v>1</v>
      </c>
      <c r="X3">
        <v>0.14</v>
      </c>
      <c r="Y3">
        <v>0</v>
      </c>
      <c r="Z3">
        <v>25.87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0.17500000000000002</v>
      </c>
      <c r="AH3">
        <v>2</v>
      </c>
      <c r="AI3">
        <v>45926700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45926720</v>
      </c>
      <c r="C4">
        <v>45926697</v>
      </c>
      <c r="D4">
        <v>37726271</v>
      </c>
      <c r="E4">
        <v>1</v>
      </c>
      <c r="F4">
        <v>1</v>
      </c>
      <c r="G4">
        <v>1</v>
      </c>
      <c r="H4">
        <v>2</v>
      </c>
      <c r="I4" t="s">
        <v>342</v>
      </c>
      <c r="J4" t="s">
        <v>343</v>
      </c>
      <c r="K4" t="s">
        <v>344</v>
      </c>
      <c r="L4">
        <v>1368</v>
      </c>
      <c r="N4">
        <v>1011</v>
      </c>
      <c r="O4" t="s">
        <v>341</v>
      </c>
      <c r="P4" t="s">
        <v>341</v>
      </c>
      <c r="Q4">
        <v>1</v>
      </c>
      <c r="X4">
        <v>2.09</v>
      </c>
      <c r="Y4">
        <v>0</v>
      </c>
      <c r="Z4">
        <v>3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2.6125</v>
      </c>
      <c r="AH4">
        <v>2</v>
      </c>
      <c r="AI4">
        <v>45926701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45926721</v>
      </c>
      <c r="C5">
        <v>45926697</v>
      </c>
      <c r="D5">
        <v>37726386</v>
      </c>
      <c r="E5">
        <v>1</v>
      </c>
      <c r="F5">
        <v>1</v>
      </c>
      <c r="G5">
        <v>1</v>
      </c>
      <c r="H5">
        <v>2</v>
      </c>
      <c r="I5" t="s">
        <v>345</v>
      </c>
      <c r="J5" t="s">
        <v>346</v>
      </c>
      <c r="K5" t="s">
        <v>347</v>
      </c>
      <c r="L5">
        <v>1368</v>
      </c>
      <c r="N5">
        <v>1011</v>
      </c>
      <c r="O5" t="s">
        <v>341</v>
      </c>
      <c r="P5" t="s">
        <v>341</v>
      </c>
      <c r="Q5">
        <v>1</v>
      </c>
      <c r="X5">
        <v>1.19</v>
      </c>
      <c r="Y5">
        <v>0</v>
      </c>
      <c r="Z5">
        <v>2.08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1.4874999999999998</v>
      </c>
      <c r="AH5">
        <v>2</v>
      </c>
      <c r="AI5">
        <v>45926702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45926722</v>
      </c>
      <c r="C6">
        <v>45926697</v>
      </c>
      <c r="D6">
        <v>37724547</v>
      </c>
      <c r="E6">
        <v>1</v>
      </c>
      <c r="F6">
        <v>1</v>
      </c>
      <c r="G6">
        <v>1</v>
      </c>
      <c r="H6">
        <v>3</v>
      </c>
      <c r="I6" t="s">
        <v>348</v>
      </c>
      <c r="J6" t="s">
        <v>349</v>
      </c>
      <c r="K6" t="s">
        <v>350</v>
      </c>
      <c r="L6">
        <v>1346</v>
      </c>
      <c r="N6">
        <v>1009</v>
      </c>
      <c r="O6" t="s">
        <v>351</v>
      </c>
      <c r="P6" t="s">
        <v>351</v>
      </c>
      <c r="Q6">
        <v>1</v>
      </c>
      <c r="X6">
        <v>0.57</v>
      </c>
      <c r="Y6">
        <v>46.72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0.57</v>
      </c>
      <c r="AH6">
        <v>2</v>
      </c>
      <c r="AI6">
        <v>45926703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45926723</v>
      </c>
      <c r="C7">
        <v>45926697</v>
      </c>
      <c r="D7">
        <v>37724557</v>
      </c>
      <c r="E7">
        <v>1</v>
      </c>
      <c r="F7">
        <v>1</v>
      </c>
      <c r="G7">
        <v>1</v>
      </c>
      <c r="H7">
        <v>3</v>
      </c>
      <c r="I7" t="s">
        <v>352</v>
      </c>
      <c r="J7" t="s">
        <v>353</v>
      </c>
      <c r="K7" t="s">
        <v>354</v>
      </c>
      <c r="L7">
        <v>1346</v>
      </c>
      <c r="N7">
        <v>1009</v>
      </c>
      <c r="O7" t="s">
        <v>351</v>
      </c>
      <c r="P7" t="s">
        <v>351</v>
      </c>
      <c r="Q7">
        <v>1</v>
      </c>
      <c r="X7">
        <v>41.4</v>
      </c>
      <c r="Y7">
        <v>4.36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41.4</v>
      </c>
      <c r="AH7">
        <v>2</v>
      </c>
      <c r="AI7">
        <v>45926704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45926724</v>
      </c>
      <c r="C8">
        <v>45926697</v>
      </c>
      <c r="D8">
        <v>37724594</v>
      </c>
      <c r="E8">
        <v>1</v>
      </c>
      <c r="F8">
        <v>1</v>
      </c>
      <c r="G8">
        <v>1</v>
      </c>
      <c r="H8">
        <v>3</v>
      </c>
      <c r="I8" t="s">
        <v>355</v>
      </c>
      <c r="J8" t="s">
        <v>356</v>
      </c>
      <c r="K8" t="s">
        <v>357</v>
      </c>
      <c r="L8">
        <v>7577558</v>
      </c>
      <c r="N8">
        <v>1013</v>
      </c>
      <c r="O8" t="s">
        <v>163</v>
      </c>
      <c r="P8" t="s">
        <v>85</v>
      </c>
      <c r="Q8">
        <v>1</v>
      </c>
      <c r="X8">
        <v>130</v>
      </c>
      <c r="Y8">
        <v>0.17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130</v>
      </c>
      <c r="AH8">
        <v>2</v>
      </c>
      <c r="AI8">
        <v>45926705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45926725</v>
      </c>
      <c r="C9">
        <v>45926697</v>
      </c>
      <c r="D9">
        <v>37724598</v>
      </c>
      <c r="E9">
        <v>1</v>
      </c>
      <c r="F9">
        <v>1</v>
      </c>
      <c r="G9">
        <v>1</v>
      </c>
      <c r="H9">
        <v>3</v>
      </c>
      <c r="I9" t="s">
        <v>358</v>
      </c>
      <c r="J9" t="s">
        <v>359</v>
      </c>
      <c r="K9" t="s">
        <v>360</v>
      </c>
      <c r="L9">
        <v>33546215</v>
      </c>
      <c r="N9">
        <v>1013</v>
      </c>
      <c r="O9" t="s">
        <v>155</v>
      </c>
      <c r="P9" t="s">
        <v>157</v>
      </c>
      <c r="Q9">
        <v>1</v>
      </c>
      <c r="X9">
        <v>0.3333</v>
      </c>
      <c r="Y9">
        <v>174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0.3333</v>
      </c>
      <c r="AH9">
        <v>2</v>
      </c>
      <c r="AI9">
        <v>45926706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45926726</v>
      </c>
      <c r="C10">
        <v>45926697</v>
      </c>
      <c r="D10">
        <v>37724601</v>
      </c>
      <c r="E10">
        <v>1</v>
      </c>
      <c r="F10">
        <v>1</v>
      </c>
      <c r="G10">
        <v>1</v>
      </c>
      <c r="H10">
        <v>3</v>
      </c>
      <c r="I10" t="s">
        <v>361</v>
      </c>
      <c r="J10" t="s">
        <v>362</v>
      </c>
      <c r="K10" t="s">
        <v>363</v>
      </c>
      <c r="L10">
        <v>7577558</v>
      </c>
      <c r="N10">
        <v>1013</v>
      </c>
      <c r="O10" t="s">
        <v>163</v>
      </c>
      <c r="P10" t="s">
        <v>85</v>
      </c>
      <c r="Q10">
        <v>1</v>
      </c>
      <c r="X10">
        <v>93.81</v>
      </c>
      <c r="Y10">
        <v>0.6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93.81</v>
      </c>
      <c r="AH10">
        <v>2</v>
      </c>
      <c r="AI10">
        <v>45926707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ROW(Source!A24)</f>
        <v>24</v>
      </c>
      <c r="B11">
        <v>45926727</v>
      </c>
      <c r="C11">
        <v>45926697</v>
      </c>
      <c r="D11">
        <v>37724800</v>
      </c>
      <c r="E11">
        <v>1</v>
      </c>
      <c r="F11">
        <v>1</v>
      </c>
      <c r="G11">
        <v>1</v>
      </c>
      <c r="H11">
        <v>3</v>
      </c>
      <c r="I11" t="s">
        <v>364</v>
      </c>
      <c r="J11" t="s">
        <v>365</v>
      </c>
      <c r="K11" t="s">
        <v>366</v>
      </c>
      <c r="L11">
        <v>1355</v>
      </c>
      <c r="N11">
        <v>1010</v>
      </c>
      <c r="O11" t="s">
        <v>206</v>
      </c>
      <c r="P11" t="s">
        <v>206</v>
      </c>
      <c r="Q11">
        <v>100</v>
      </c>
      <c r="X11">
        <v>4.29</v>
      </c>
      <c r="Y11">
        <v>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4.29</v>
      </c>
      <c r="AH11">
        <v>2</v>
      </c>
      <c r="AI11">
        <v>45926708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ROW(Source!A24)</f>
        <v>24</v>
      </c>
      <c r="B12">
        <v>45926728</v>
      </c>
      <c r="C12">
        <v>45926697</v>
      </c>
      <c r="D12">
        <v>37724801</v>
      </c>
      <c r="E12">
        <v>1</v>
      </c>
      <c r="F12">
        <v>1</v>
      </c>
      <c r="G12">
        <v>1</v>
      </c>
      <c r="H12">
        <v>3</v>
      </c>
      <c r="I12" t="s">
        <v>367</v>
      </c>
      <c r="J12" t="s">
        <v>368</v>
      </c>
      <c r="K12" t="s">
        <v>369</v>
      </c>
      <c r="L12">
        <v>1355</v>
      </c>
      <c r="N12">
        <v>1010</v>
      </c>
      <c r="O12" t="s">
        <v>206</v>
      </c>
      <c r="P12" t="s">
        <v>206</v>
      </c>
      <c r="Q12">
        <v>100</v>
      </c>
      <c r="X12">
        <v>16.67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16.67</v>
      </c>
      <c r="AH12">
        <v>2</v>
      </c>
      <c r="AI12">
        <v>45926709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ROW(Source!A24)</f>
        <v>24</v>
      </c>
      <c r="B13">
        <v>45926729</v>
      </c>
      <c r="C13">
        <v>45926697</v>
      </c>
      <c r="D13">
        <v>37724794</v>
      </c>
      <c r="E13">
        <v>1</v>
      </c>
      <c r="F13">
        <v>1</v>
      </c>
      <c r="G13">
        <v>1</v>
      </c>
      <c r="H13">
        <v>3</v>
      </c>
      <c r="I13" t="s">
        <v>370</v>
      </c>
      <c r="J13" t="s">
        <v>371</v>
      </c>
      <c r="K13" t="s">
        <v>372</v>
      </c>
      <c r="L13">
        <v>1355</v>
      </c>
      <c r="N13">
        <v>1010</v>
      </c>
      <c r="O13" t="s">
        <v>206</v>
      </c>
      <c r="P13" t="s">
        <v>206</v>
      </c>
      <c r="Q13">
        <v>100</v>
      </c>
      <c r="X13">
        <v>3.53</v>
      </c>
      <c r="Y13">
        <v>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3.53</v>
      </c>
      <c r="AH13">
        <v>2</v>
      </c>
      <c r="AI13">
        <v>45926710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ROW(Source!A24)</f>
        <v>24</v>
      </c>
      <c r="B14">
        <v>45926730</v>
      </c>
      <c r="C14">
        <v>45926697</v>
      </c>
      <c r="D14">
        <v>37725956</v>
      </c>
      <c r="E14">
        <v>1</v>
      </c>
      <c r="F14">
        <v>1</v>
      </c>
      <c r="G14">
        <v>1</v>
      </c>
      <c r="H14">
        <v>3</v>
      </c>
      <c r="I14" t="s">
        <v>672</v>
      </c>
      <c r="J14" t="s">
        <v>673</v>
      </c>
      <c r="K14" t="s">
        <v>674</v>
      </c>
      <c r="L14">
        <v>1327</v>
      </c>
      <c r="N14">
        <v>1005</v>
      </c>
      <c r="O14" t="s">
        <v>30</v>
      </c>
      <c r="P14" t="s">
        <v>30</v>
      </c>
      <c r="Q14">
        <v>1</v>
      </c>
      <c r="X14">
        <v>105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105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ROW(Source!A24)</f>
        <v>24</v>
      </c>
      <c r="B15">
        <v>45926731</v>
      </c>
      <c r="C15">
        <v>45926697</v>
      </c>
      <c r="D15">
        <v>37725109</v>
      </c>
      <c r="E15">
        <v>1</v>
      </c>
      <c r="F15">
        <v>1</v>
      </c>
      <c r="G15">
        <v>1</v>
      </c>
      <c r="H15">
        <v>3</v>
      </c>
      <c r="I15" t="s">
        <v>373</v>
      </c>
      <c r="J15" t="s">
        <v>374</v>
      </c>
      <c r="K15" t="s">
        <v>375</v>
      </c>
      <c r="L15">
        <v>7577558</v>
      </c>
      <c r="N15">
        <v>1013</v>
      </c>
      <c r="O15" t="s">
        <v>163</v>
      </c>
      <c r="P15" t="s">
        <v>85</v>
      </c>
      <c r="Q15">
        <v>1</v>
      </c>
      <c r="X15">
        <v>80.95</v>
      </c>
      <c r="Y15">
        <v>4.18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80.95</v>
      </c>
      <c r="AH15">
        <v>2</v>
      </c>
      <c r="AI15">
        <v>45926711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ROW(Source!A24)</f>
        <v>24</v>
      </c>
      <c r="B16">
        <v>45926732</v>
      </c>
      <c r="C16">
        <v>45926697</v>
      </c>
      <c r="D16">
        <v>37725110</v>
      </c>
      <c r="E16">
        <v>1</v>
      </c>
      <c r="F16">
        <v>1</v>
      </c>
      <c r="G16">
        <v>1</v>
      </c>
      <c r="H16">
        <v>3</v>
      </c>
      <c r="I16" t="s">
        <v>376</v>
      </c>
      <c r="J16" t="s">
        <v>377</v>
      </c>
      <c r="K16" t="s">
        <v>378</v>
      </c>
      <c r="L16">
        <v>7577558</v>
      </c>
      <c r="N16">
        <v>1013</v>
      </c>
      <c r="O16" t="s">
        <v>163</v>
      </c>
      <c r="P16" t="s">
        <v>85</v>
      </c>
      <c r="Q16">
        <v>1</v>
      </c>
      <c r="X16">
        <v>171.83</v>
      </c>
      <c r="Y16">
        <v>5.74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171.83</v>
      </c>
      <c r="AH16">
        <v>2</v>
      </c>
      <c r="AI16">
        <v>45926712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ROW(Source!A24)</f>
        <v>24</v>
      </c>
      <c r="B17">
        <v>45926733</v>
      </c>
      <c r="C17">
        <v>45926697</v>
      </c>
      <c r="D17">
        <v>37725116</v>
      </c>
      <c r="E17">
        <v>1</v>
      </c>
      <c r="F17">
        <v>1</v>
      </c>
      <c r="G17">
        <v>1</v>
      </c>
      <c r="H17">
        <v>3</v>
      </c>
      <c r="I17" t="s">
        <v>379</v>
      </c>
      <c r="J17" t="s">
        <v>380</v>
      </c>
      <c r="K17" t="s">
        <v>381</v>
      </c>
      <c r="L17">
        <v>1355</v>
      </c>
      <c r="N17">
        <v>1010</v>
      </c>
      <c r="O17" t="s">
        <v>206</v>
      </c>
      <c r="P17" t="s">
        <v>206</v>
      </c>
      <c r="Q17">
        <v>100</v>
      </c>
      <c r="X17">
        <v>2.14</v>
      </c>
      <c r="Y17">
        <v>71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2.14</v>
      </c>
      <c r="AH17">
        <v>2</v>
      </c>
      <c r="AI17">
        <v>45926713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ROW(Source!A24)</f>
        <v>24</v>
      </c>
      <c r="B18">
        <v>45926734</v>
      </c>
      <c r="C18">
        <v>45926697</v>
      </c>
      <c r="D18">
        <v>37725113</v>
      </c>
      <c r="E18">
        <v>1</v>
      </c>
      <c r="F18">
        <v>1</v>
      </c>
      <c r="G18">
        <v>1</v>
      </c>
      <c r="H18">
        <v>3</v>
      </c>
      <c r="I18" t="s">
        <v>382</v>
      </c>
      <c r="J18" t="s">
        <v>383</v>
      </c>
      <c r="K18" t="s">
        <v>384</v>
      </c>
      <c r="L18">
        <v>1355</v>
      </c>
      <c r="N18">
        <v>1010</v>
      </c>
      <c r="O18" t="s">
        <v>206</v>
      </c>
      <c r="P18" t="s">
        <v>206</v>
      </c>
      <c r="Q18">
        <v>100</v>
      </c>
      <c r="X18">
        <v>0.36</v>
      </c>
      <c r="Y18">
        <v>168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0.36</v>
      </c>
      <c r="AH18">
        <v>2</v>
      </c>
      <c r="AI18">
        <v>45926714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ROW(Source!A24)</f>
        <v>24</v>
      </c>
      <c r="B19">
        <v>45926735</v>
      </c>
      <c r="C19">
        <v>45926697</v>
      </c>
      <c r="D19">
        <v>37725428</v>
      </c>
      <c r="E19">
        <v>1</v>
      </c>
      <c r="F19">
        <v>1</v>
      </c>
      <c r="G19">
        <v>1</v>
      </c>
      <c r="H19">
        <v>3</v>
      </c>
      <c r="I19" t="s">
        <v>385</v>
      </c>
      <c r="J19" t="s">
        <v>386</v>
      </c>
      <c r="K19" t="s">
        <v>387</v>
      </c>
      <c r="L19">
        <v>1339</v>
      </c>
      <c r="N19">
        <v>1007</v>
      </c>
      <c r="O19" t="s">
        <v>388</v>
      </c>
      <c r="P19" t="s">
        <v>388</v>
      </c>
      <c r="Q19">
        <v>1</v>
      </c>
      <c r="X19">
        <v>0.035</v>
      </c>
      <c r="Y19">
        <v>2.44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0.035</v>
      </c>
      <c r="AH19">
        <v>2</v>
      </c>
      <c r="AI19">
        <v>45926715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45926755</v>
      </c>
      <c r="C20">
        <v>45926737</v>
      </c>
      <c r="D20">
        <v>13671681</v>
      </c>
      <c r="E20">
        <v>1</v>
      </c>
      <c r="F20">
        <v>1</v>
      </c>
      <c r="G20">
        <v>1</v>
      </c>
      <c r="H20">
        <v>1</v>
      </c>
      <c r="I20" t="s">
        <v>389</v>
      </c>
      <c r="K20" t="s">
        <v>390</v>
      </c>
      <c r="L20">
        <v>1369</v>
      </c>
      <c r="N20">
        <v>1013</v>
      </c>
      <c r="O20" t="s">
        <v>335</v>
      </c>
      <c r="P20" t="s">
        <v>335</v>
      </c>
      <c r="Q20">
        <v>1</v>
      </c>
      <c r="X20">
        <v>104.28</v>
      </c>
      <c r="Y20">
        <v>0</v>
      </c>
      <c r="Z20">
        <v>0</v>
      </c>
      <c r="AA20">
        <v>0</v>
      </c>
      <c r="AB20">
        <v>9.18</v>
      </c>
      <c r="AC20">
        <v>0</v>
      </c>
      <c r="AD20">
        <v>1</v>
      </c>
      <c r="AE20">
        <v>1</v>
      </c>
      <c r="AF20" t="s">
        <v>20</v>
      </c>
      <c r="AG20">
        <v>119.922</v>
      </c>
      <c r="AH20">
        <v>2</v>
      </c>
      <c r="AI20">
        <v>45926738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ROW(Source!A26)</f>
        <v>26</v>
      </c>
      <c r="B21">
        <v>45926756</v>
      </c>
      <c r="C21">
        <v>45926737</v>
      </c>
      <c r="D21">
        <v>121548</v>
      </c>
      <c r="E21">
        <v>1</v>
      </c>
      <c r="F21">
        <v>1</v>
      </c>
      <c r="G21">
        <v>1</v>
      </c>
      <c r="H21">
        <v>1</v>
      </c>
      <c r="I21" t="s">
        <v>32</v>
      </c>
      <c r="K21" t="s">
        <v>336</v>
      </c>
      <c r="L21">
        <v>608254</v>
      </c>
      <c r="N21">
        <v>1013</v>
      </c>
      <c r="O21" t="s">
        <v>337</v>
      </c>
      <c r="P21" t="s">
        <v>337</v>
      </c>
      <c r="Q21">
        <v>1</v>
      </c>
      <c r="X21">
        <v>11.35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19</v>
      </c>
      <c r="AG21">
        <v>14.1875</v>
      </c>
      <c r="AH21">
        <v>2</v>
      </c>
      <c r="AI21">
        <v>45926739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45926757</v>
      </c>
      <c r="C22">
        <v>45926737</v>
      </c>
      <c r="D22">
        <v>30682255</v>
      </c>
      <c r="E22">
        <v>1</v>
      </c>
      <c r="F22">
        <v>1</v>
      </c>
      <c r="G22">
        <v>1</v>
      </c>
      <c r="H22">
        <v>2</v>
      </c>
      <c r="I22" t="s">
        <v>391</v>
      </c>
      <c r="J22" t="s">
        <v>392</v>
      </c>
      <c r="K22" t="s">
        <v>393</v>
      </c>
      <c r="L22">
        <v>1368</v>
      </c>
      <c r="N22">
        <v>1011</v>
      </c>
      <c r="O22" t="s">
        <v>341</v>
      </c>
      <c r="P22" t="s">
        <v>341</v>
      </c>
      <c r="Q22">
        <v>1</v>
      </c>
      <c r="X22">
        <v>9.69</v>
      </c>
      <c r="Y22">
        <v>0</v>
      </c>
      <c r="Z22">
        <v>86.4</v>
      </c>
      <c r="AA22">
        <v>13.5</v>
      </c>
      <c r="AB22">
        <v>0</v>
      </c>
      <c r="AC22">
        <v>0</v>
      </c>
      <c r="AD22">
        <v>1</v>
      </c>
      <c r="AE22">
        <v>0</v>
      </c>
      <c r="AF22" t="s">
        <v>19</v>
      </c>
      <c r="AG22">
        <v>12.112499999999999</v>
      </c>
      <c r="AH22">
        <v>2</v>
      </c>
      <c r="AI22">
        <v>45926740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45926758</v>
      </c>
      <c r="C23">
        <v>45926737</v>
      </c>
      <c r="D23">
        <v>30682366</v>
      </c>
      <c r="E23">
        <v>1</v>
      </c>
      <c r="F23">
        <v>1</v>
      </c>
      <c r="G23">
        <v>1</v>
      </c>
      <c r="H23">
        <v>2</v>
      </c>
      <c r="I23" t="s">
        <v>394</v>
      </c>
      <c r="J23" t="s">
        <v>395</v>
      </c>
      <c r="K23" t="s">
        <v>396</v>
      </c>
      <c r="L23">
        <v>1368</v>
      </c>
      <c r="N23">
        <v>1011</v>
      </c>
      <c r="O23" t="s">
        <v>341</v>
      </c>
      <c r="P23" t="s">
        <v>341</v>
      </c>
      <c r="Q23">
        <v>1</v>
      </c>
      <c r="X23">
        <v>1.66</v>
      </c>
      <c r="Y23">
        <v>0</v>
      </c>
      <c r="Z23">
        <v>112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2.0749999999999997</v>
      </c>
      <c r="AH23">
        <v>2</v>
      </c>
      <c r="AI23">
        <v>45926741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45926759</v>
      </c>
      <c r="C24">
        <v>45926737</v>
      </c>
      <c r="D24">
        <v>30683240</v>
      </c>
      <c r="E24">
        <v>1</v>
      </c>
      <c r="F24">
        <v>1</v>
      </c>
      <c r="G24">
        <v>1</v>
      </c>
      <c r="H24">
        <v>2</v>
      </c>
      <c r="I24" t="s">
        <v>397</v>
      </c>
      <c r="J24" t="s">
        <v>398</v>
      </c>
      <c r="K24" t="s">
        <v>399</v>
      </c>
      <c r="L24">
        <v>1368</v>
      </c>
      <c r="N24">
        <v>1011</v>
      </c>
      <c r="O24" t="s">
        <v>341</v>
      </c>
      <c r="P24" t="s">
        <v>341</v>
      </c>
      <c r="Q24">
        <v>1</v>
      </c>
      <c r="X24">
        <v>1.79</v>
      </c>
      <c r="Y24">
        <v>0</v>
      </c>
      <c r="Z24">
        <v>30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2.2375</v>
      </c>
      <c r="AH24">
        <v>2</v>
      </c>
      <c r="AI24">
        <v>45926742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45926760</v>
      </c>
      <c r="C25">
        <v>45926737</v>
      </c>
      <c r="D25">
        <v>30684901</v>
      </c>
      <c r="E25">
        <v>1</v>
      </c>
      <c r="F25">
        <v>1</v>
      </c>
      <c r="G25">
        <v>1</v>
      </c>
      <c r="H25">
        <v>2</v>
      </c>
      <c r="I25" t="s">
        <v>400</v>
      </c>
      <c r="J25" t="s">
        <v>401</v>
      </c>
      <c r="K25" t="s">
        <v>402</v>
      </c>
      <c r="L25">
        <v>1368</v>
      </c>
      <c r="N25">
        <v>1011</v>
      </c>
      <c r="O25" t="s">
        <v>341</v>
      </c>
      <c r="P25" t="s">
        <v>341</v>
      </c>
      <c r="Q25">
        <v>1</v>
      </c>
      <c r="X25">
        <v>1.99</v>
      </c>
      <c r="Y25">
        <v>0</v>
      </c>
      <c r="Z25">
        <v>87.17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2.4875</v>
      </c>
      <c r="AH25">
        <v>2</v>
      </c>
      <c r="AI25">
        <v>45926743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ROW(Source!A26)</f>
        <v>26</v>
      </c>
      <c r="B26">
        <v>45926761</v>
      </c>
      <c r="C26">
        <v>45926737</v>
      </c>
      <c r="D26">
        <v>30624382</v>
      </c>
      <c r="E26">
        <v>1</v>
      </c>
      <c r="F26">
        <v>1</v>
      </c>
      <c r="G26">
        <v>1</v>
      </c>
      <c r="H26">
        <v>3</v>
      </c>
      <c r="I26" t="s">
        <v>403</v>
      </c>
      <c r="J26" t="s">
        <v>404</v>
      </c>
      <c r="K26" t="s">
        <v>405</v>
      </c>
      <c r="L26">
        <v>1348</v>
      </c>
      <c r="N26">
        <v>1009</v>
      </c>
      <c r="O26" t="s">
        <v>406</v>
      </c>
      <c r="P26" t="s">
        <v>406</v>
      </c>
      <c r="Q26">
        <v>1000</v>
      </c>
      <c r="X26">
        <v>0.0021</v>
      </c>
      <c r="Y26">
        <v>8475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0.0021</v>
      </c>
      <c r="AH26">
        <v>2</v>
      </c>
      <c r="AI26">
        <v>45926744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45926762</v>
      </c>
      <c r="C27">
        <v>45926737</v>
      </c>
      <c r="D27">
        <v>30621749</v>
      </c>
      <c r="E27">
        <v>1</v>
      </c>
      <c r="F27">
        <v>1</v>
      </c>
      <c r="G27">
        <v>1</v>
      </c>
      <c r="H27">
        <v>3</v>
      </c>
      <c r="I27" t="s">
        <v>407</v>
      </c>
      <c r="J27" t="s">
        <v>408</v>
      </c>
      <c r="K27" t="s">
        <v>409</v>
      </c>
      <c r="L27">
        <v>1348</v>
      </c>
      <c r="N27">
        <v>1009</v>
      </c>
      <c r="O27" t="s">
        <v>406</v>
      </c>
      <c r="P27" t="s">
        <v>406</v>
      </c>
      <c r="Q27">
        <v>1000</v>
      </c>
      <c r="X27">
        <v>0.0236</v>
      </c>
      <c r="Y27">
        <v>1694.99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0.0236</v>
      </c>
      <c r="AH27">
        <v>2</v>
      </c>
      <c r="AI27">
        <v>45926745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45926763</v>
      </c>
      <c r="C28">
        <v>45926737</v>
      </c>
      <c r="D28">
        <v>30619149</v>
      </c>
      <c r="E28">
        <v>1</v>
      </c>
      <c r="F28">
        <v>1</v>
      </c>
      <c r="G28">
        <v>1</v>
      </c>
      <c r="H28">
        <v>3</v>
      </c>
      <c r="I28" t="s">
        <v>410</v>
      </c>
      <c r="J28" t="s">
        <v>411</v>
      </c>
      <c r="K28" t="s">
        <v>412</v>
      </c>
      <c r="L28">
        <v>1327</v>
      </c>
      <c r="N28">
        <v>1005</v>
      </c>
      <c r="O28" t="s">
        <v>30</v>
      </c>
      <c r="P28" t="s">
        <v>30</v>
      </c>
      <c r="Q28">
        <v>1</v>
      </c>
      <c r="X28">
        <v>89</v>
      </c>
      <c r="Y28">
        <v>5.71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89</v>
      </c>
      <c r="AH28">
        <v>2</v>
      </c>
      <c r="AI28">
        <v>45926746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45926764</v>
      </c>
      <c r="C29">
        <v>45926737</v>
      </c>
      <c r="D29">
        <v>30622534</v>
      </c>
      <c r="E29">
        <v>1</v>
      </c>
      <c r="F29">
        <v>1</v>
      </c>
      <c r="G29">
        <v>1</v>
      </c>
      <c r="H29">
        <v>3</v>
      </c>
      <c r="I29" t="s">
        <v>413</v>
      </c>
      <c r="J29" t="s">
        <v>414</v>
      </c>
      <c r="K29" t="s">
        <v>415</v>
      </c>
      <c r="L29">
        <v>1346</v>
      </c>
      <c r="N29">
        <v>1009</v>
      </c>
      <c r="O29" t="s">
        <v>351</v>
      </c>
      <c r="P29" t="s">
        <v>351</v>
      </c>
      <c r="Q29">
        <v>1</v>
      </c>
      <c r="X29">
        <v>37.5</v>
      </c>
      <c r="Y29">
        <v>10.26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37.5</v>
      </c>
      <c r="AH29">
        <v>2</v>
      </c>
      <c r="AI29">
        <v>45926747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45926765</v>
      </c>
      <c r="C30">
        <v>45926737</v>
      </c>
      <c r="D30">
        <v>30624319</v>
      </c>
      <c r="E30">
        <v>1</v>
      </c>
      <c r="F30">
        <v>1</v>
      </c>
      <c r="G30">
        <v>1</v>
      </c>
      <c r="H30">
        <v>3</v>
      </c>
      <c r="I30" t="s">
        <v>416</v>
      </c>
      <c r="J30" t="s">
        <v>417</v>
      </c>
      <c r="K30" t="s">
        <v>418</v>
      </c>
      <c r="L30">
        <v>1348</v>
      </c>
      <c r="N30">
        <v>1009</v>
      </c>
      <c r="O30" t="s">
        <v>406</v>
      </c>
      <c r="P30" t="s">
        <v>406</v>
      </c>
      <c r="Q30">
        <v>1000</v>
      </c>
      <c r="X30">
        <v>0.00413</v>
      </c>
      <c r="Y30">
        <v>11978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0.00413</v>
      </c>
      <c r="AH30">
        <v>2</v>
      </c>
      <c r="AI30">
        <v>45926748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ROW(Source!A26)</f>
        <v>26</v>
      </c>
      <c r="B31">
        <v>45926766</v>
      </c>
      <c r="C31">
        <v>45926737</v>
      </c>
      <c r="D31">
        <v>30617976</v>
      </c>
      <c r="E31">
        <v>1</v>
      </c>
      <c r="F31">
        <v>1</v>
      </c>
      <c r="G31">
        <v>1</v>
      </c>
      <c r="H31">
        <v>3</v>
      </c>
      <c r="I31" t="s">
        <v>419</v>
      </c>
      <c r="J31" t="s">
        <v>420</v>
      </c>
      <c r="K31" t="s">
        <v>421</v>
      </c>
      <c r="L31">
        <v>1296</v>
      </c>
      <c r="N31">
        <v>1002</v>
      </c>
      <c r="O31" t="s">
        <v>422</v>
      </c>
      <c r="P31" t="s">
        <v>422</v>
      </c>
      <c r="Q31">
        <v>1</v>
      </c>
      <c r="X31">
        <v>32.4</v>
      </c>
      <c r="Y31">
        <v>47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32.4</v>
      </c>
      <c r="AH31">
        <v>2</v>
      </c>
      <c r="AI31">
        <v>45926749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ROW(Source!A26)</f>
        <v>26</v>
      </c>
      <c r="B32">
        <v>45926767</v>
      </c>
      <c r="C32">
        <v>45926737</v>
      </c>
      <c r="D32">
        <v>30624817</v>
      </c>
      <c r="E32">
        <v>1</v>
      </c>
      <c r="F32">
        <v>1</v>
      </c>
      <c r="G32">
        <v>1</v>
      </c>
      <c r="H32">
        <v>3</v>
      </c>
      <c r="I32" t="s">
        <v>675</v>
      </c>
      <c r="J32" t="s">
        <v>676</v>
      </c>
      <c r="K32" t="s">
        <v>677</v>
      </c>
      <c r="L32">
        <v>1035</v>
      </c>
      <c r="N32">
        <v>1013</v>
      </c>
      <c r="O32" t="s">
        <v>44</v>
      </c>
      <c r="P32" t="s">
        <v>44</v>
      </c>
      <c r="Q32">
        <v>1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G32">
        <v>0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ROW(Source!A26)</f>
        <v>26</v>
      </c>
      <c r="B33">
        <v>45926768</v>
      </c>
      <c r="C33">
        <v>45926737</v>
      </c>
      <c r="D33">
        <v>30625629</v>
      </c>
      <c r="E33">
        <v>1</v>
      </c>
      <c r="F33">
        <v>1</v>
      </c>
      <c r="G33">
        <v>1</v>
      </c>
      <c r="H33">
        <v>3</v>
      </c>
      <c r="I33" t="s">
        <v>423</v>
      </c>
      <c r="J33" t="s">
        <v>424</v>
      </c>
      <c r="K33" t="s">
        <v>425</v>
      </c>
      <c r="L33">
        <v>1339</v>
      </c>
      <c r="N33">
        <v>1007</v>
      </c>
      <c r="O33" t="s">
        <v>388</v>
      </c>
      <c r="P33" t="s">
        <v>388</v>
      </c>
      <c r="Q33">
        <v>1</v>
      </c>
      <c r="X33">
        <v>0.08</v>
      </c>
      <c r="Y33">
        <v>1100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0.08</v>
      </c>
      <c r="AH33">
        <v>2</v>
      </c>
      <c r="AI33">
        <v>45926750</v>
      </c>
      <c r="AJ33">
        <v>32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ROW(Source!A26)</f>
        <v>26</v>
      </c>
      <c r="B34">
        <v>45926769</v>
      </c>
      <c r="C34">
        <v>45926737</v>
      </c>
      <c r="D34">
        <v>30640548</v>
      </c>
      <c r="E34">
        <v>1</v>
      </c>
      <c r="F34">
        <v>1</v>
      </c>
      <c r="G34">
        <v>1</v>
      </c>
      <c r="H34">
        <v>3</v>
      </c>
      <c r="I34" t="s">
        <v>38</v>
      </c>
      <c r="J34" t="s">
        <v>40</v>
      </c>
      <c r="K34" t="s">
        <v>39</v>
      </c>
      <c r="L34">
        <v>1327</v>
      </c>
      <c r="N34">
        <v>1005</v>
      </c>
      <c r="O34" t="s">
        <v>30</v>
      </c>
      <c r="P34" t="s">
        <v>30</v>
      </c>
      <c r="Q34">
        <v>1</v>
      </c>
      <c r="X34">
        <v>100</v>
      </c>
      <c r="Y34">
        <v>207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100</v>
      </c>
      <c r="AH34">
        <v>2</v>
      </c>
      <c r="AI34">
        <v>45926751</v>
      </c>
      <c r="AJ34">
        <v>33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ROW(Source!A26)</f>
        <v>26</v>
      </c>
      <c r="B35">
        <v>45926770</v>
      </c>
      <c r="C35">
        <v>45926737</v>
      </c>
      <c r="D35">
        <v>30655204</v>
      </c>
      <c r="E35">
        <v>1</v>
      </c>
      <c r="F35">
        <v>1</v>
      </c>
      <c r="G35">
        <v>1</v>
      </c>
      <c r="H35">
        <v>3</v>
      </c>
      <c r="I35" t="s">
        <v>426</v>
      </c>
      <c r="J35" t="s">
        <v>427</v>
      </c>
      <c r="K35" t="s">
        <v>428</v>
      </c>
      <c r="L35">
        <v>1339</v>
      </c>
      <c r="N35">
        <v>1007</v>
      </c>
      <c r="O35" t="s">
        <v>388</v>
      </c>
      <c r="P35" t="s">
        <v>388</v>
      </c>
      <c r="Q35">
        <v>1</v>
      </c>
      <c r="X35">
        <v>0.105</v>
      </c>
      <c r="Y35">
        <v>458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0.105</v>
      </c>
      <c r="AH35">
        <v>2</v>
      </c>
      <c r="AI35">
        <v>45926752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ROW(Source!A26)</f>
        <v>26</v>
      </c>
      <c r="B36">
        <v>45926771</v>
      </c>
      <c r="C36">
        <v>45926737</v>
      </c>
      <c r="D36">
        <v>30659191</v>
      </c>
      <c r="E36">
        <v>1</v>
      </c>
      <c r="F36">
        <v>1</v>
      </c>
      <c r="G36">
        <v>1</v>
      </c>
      <c r="H36">
        <v>3</v>
      </c>
      <c r="I36" t="s">
        <v>429</v>
      </c>
      <c r="J36" t="s">
        <v>430</v>
      </c>
      <c r="K36" t="s">
        <v>431</v>
      </c>
      <c r="L36">
        <v>1348</v>
      </c>
      <c r="N36">
        <v>1009</v>
      </c>
      <c r="O36" t="s">
        <v>406</v>
      </c>
      <c r="P36" t="s">
        <v>406</v>
      </c>
      <c r="Q36">
        <v>1000</v>
      </c>
      <c r="X36">
        <v>0.016</v>
      </c>
      <c r="Y36">
        <v>729.98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0.016</v>
      </c>
      <c r="AH36">
        <v>2</v>
      </c>
      <c r="AI36">
        <v>45926753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45926779</v>
      </c>
      <c r="C37">
        <v>45926774</v>
      </c>
      <c r="D37">
        <v>13666742</v>
      </c>
      <c r="E37">
        <v>1</v>
      </c>
      <c r="F37">
        <v>1</v>
      </c>
      <c r="G37">
        <v>1</v>
      </c>
      <c r="H37">
        <v>1</v>
      </c>
      <c r="I37" t="s">
        <v>432</v>
      </c>
      <c r="K37" t="s">
        <v>433</v>
      </c>
      <c r="L37">
        <v>1369</v>
      </c>
      <c r="N37">
        <v>1013</v>
      </c>
      <c r="O37" t="s">
        <v>335</v>
      </c>
      <c r="P37" t="s">
        <v>335</v>
      </c>
      <c r="Q37">
        <v>1</v>
      </c>
      <c r="X37">
        <v>7.82</v>
      </c>
      <c r="Y37">
        <v>0</v>
      </c>
      <c r="Z37">
        <v>0</v>
      </c>
      <c r="AA37">
        <v>0</v>
      </c>
      <c r="AB37">
        <v>8.17</v>
      </c>
      <c r="AC37">
        <v>0</v>
      </c>
      <c r="AD37">
        <v>1</v>
      </c>
      <c r="AE37">
        <v>1</v>
      </c>
      <c r="AF37" t="s">
        <v>20</v>
      </c>
      <c r="AG37">
        <v>8.993</v>
      </c>
      <c r="AH37">
        <v>2</v>
      </c>
      <c r="AI37">
        <v>45926775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45926780</v>
      </c>
      <c r="C38">
        <v>45926774</v>
      </c>
      <c r="D38">
        <v>30684901</v>
      </c>
      <c r="E38">
        <v>1</v>
      </c>
      <c r="F38">
        <v>1</v>
      </c>
      <c r="G38">
        <v>1</v>
      </c>
      <c r="H38">
        <v>2</v>
      </c>
      <c r="I38" t="s">
        <v>400</v>
      </c>
      <c r="J38" t="s">
        <v>401</v>
      </c>
      <c r="K38" t="s">
        <v>402</v>
      </c>
      <c r="L38">
        <v>1368</v>
      </c>
      <c r="N38">
        <v>1011</v>
      </c>
      <c r="O38" t="s">
        <v>341</v>
      </c>
      <c r="P38" t="s">
        <v>341</v>
      </c>
      <c r="Q38">
        <v>1</v>
      </c>
      <c r="X38">
        <v>0.04</v>
      </c>
      <c r="Y38">
        <v>0</v>
      </c>
      <c r="Z38">
        <v>87.17</v>
      </c>
      <c r="AA38">
        <v>11.6</v>
      </c>
      <c r="AB38">
        <v>0</v>
      </c>
      <c r="AC38">
        <v>0</v>
      </c>
      <c r="AD38">
        <v>1</v>
      </c>
      <c r="AE38">
        <v>0</v>
      </c>
      <c r="AF38" t="s">
        <v>19</v>
      </c>
      <c r="AG38">
        <v>0.05</v>
      </c>
      <c r="AH38">
        <v>2</v>
      </c>
      <c r="AI38">
        <v>45926776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45926781</v>
      </c>
      <c r="C39">
        <v>45926774</v>
      </c>
      <c r="D39">
        <v>30624319</v>
      </c>
      <c r="E39">
        <v>1</v>
      </c>
      <c r="F39">
        <v>1</v>
      </c>
      <c r="G39">
        <v>1</v>
      </c>
      <c r="H39">
        <v>3</v>
      </c>
      <c r="I39" t="s">
        <v>416</v>
      </c>
      <c r="J39" t="s">
        <v>417</v>
      </c>
      <c r="K39" t="s">
        <v>418</v>
      </c>
      <c r="L39">
        <v>1348</v>
      </c>
      <c r="N39">
        <v>1009</v>
      </c>
      <c r="O39" t="s">
        <v>406</v>
      </c>
      <c r="P39" t="s">
        <v>406</v>
      </c>
      <c r="Q39">
        <v>1000</v>
      </c>
      <c r="X39">
        <v>0.00071</v>
      </c>
      <c r="Y39">
        <v>11978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0.00071</v>
      </c>
      <c r="AH39">
        <v>2</v>
      </c>
      <c r="AI39">
        <v>45926777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45926782</v>
      </c>
      <c r="C40">
        <v>45926774</v>
      </c>
      <c r="D40">
        <v>30641002</v>
      </c>
      <c r="E40">
        <v>1</v>
      </c>
      <c r="F40">
        <v>1</v>
      </c>
      <c r="G40">
        <v>1</v>
      </c>
      <c r="H40">
        <v>3</v>
      </c>
      <c r="I40" t="s">
        <v>434</v>
      </c>
      <c r="J40" t="s">
        <v>435</v>
      </c>
      <c r="K40" t="s">
        <v>436</v>
      </c>
      <c r="L40">
        <v>1301</v>
      </c>
      <c r="N40">
        <v>1003</v>
      </c>
      <c r="O40" t="s">
        <v>85</v>
      </c>
      <c r="P40" t="s">
        <v>85</v>
      </c>
      <c r="Q40">
        <v>1</v>
      </c>
      <c r="X40">
        <v>112</v>
      </c>
      <c r="Y40">
        <v>3.93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112</v>
      </c>
      <c r="AH40">
        <v>2</v>
      </c>
      <c r="AI40">
        <v>45926778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ROW(Source!A30)</f>
        <v>30</v>
      </c>
      <c r="B41">
        <v>45930189</v>
      </c>
      <c r="C41">
        <v>45930188</v>
      </c>
      <c r="D41">
        <v>13671681</v>
      </c>
      <c r="E41">
        <v>1</v>
      </c>
      <c r="F41">
        <v>1</v>
      </c>
      <c r="G41">
        <v>1</v>
      </c>
      <c r="H41">
        <v>1</v>
      </c>
      <c r="I41" t="s">
        <v>389</v>
      </c>
      <c r="K41" t="s">
        <v>390</v>
      </c>
      <c r="L41">
        <v>1369</v>
      </c>
      <c r="N41">
        <v>1013</v>
      </c>
      <c r="O41" t="s">
        <v>335</v>
      </c>
      <c r="P41" t="s">
        <v>335</v>
      </c>
      <c r="Q41">
        <v>1</v>
      </c>
      <c r="X41">
        <v>166.11</v>
      </c>
      <c r="Y41">
        <v>0</v>
      </c>
      <c r="Z41">
        <v>0</v>
      </c>
      <c r="AA41">
        <v>0</v>
      </c>
      <c r="AB41">
        <v>9.18</v>
      </c>
      <c r="AC41">
        <v>0</v>
      </c>
      <c r="AD41">
        <v>1</v>
      </c>
      <c r="AE41">
        <v>1</v>
      </c>
      <c r="AF41" t="s">
        <v>20</v>
      </c>
      <c r="AG41">
        <v>191.0265</v>
      </c>
      <c r="AH41">
        <v>2</v>
      </c>
      <c r="AI41">
        <v>45930189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ROW(Source!A30)</f>
        <v>30</v>
      </c>
      <c r="B42">
        <v>45930190</v>
      </c>
      <c r="C42">
        <v>45930188</v>
      </c>
      <c r="D42">
        <v>121548</v>
      </c>
      <c r="E42">
        <v>1</v>
      </c>
      <c r="F42">
        <v>1</v>
      </c>
      <c r="G42">
        <v>1</v>
      </c>
      <c r="H42">
        <v>1</v>
      </c>
      <c r="I42" t="s">
        <v>32</v>
      </c>
      <c r="K42" t="s">
        <v>336</v>
      </c>
      <c r="L42">
        <v>608254</v>
      </c>
      <c r="N42">
        <v>1013</v>
      </c>
      <c r="O42" t="s">
        <v>337</v>
      </c>
      <c r="P42" t="s">
        <v>337</v>
      </c>
      <c r="Q42">
        <v>1</v>
      </c>
      <c r="X42">
        <v>1.65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19</v>
      </c>
      <c r="AG42">
        <v>2.0625</v>
      </c>
      <c r="AH42">
        <v>2</v>
      </c>
      <c r="AI42">
        <v>45930190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ROW(Source!A30)</f>
        <v>30</v>
      </c>
      <c r="B43">
        <v>45930191</v>
      </c>
      <c r="C43">
        <v>45930188</v>
      </c>
      <c r="D43">
        <v>30682466</v>
      </c>
      <c r="E43">
        <v>1</v>
      </c>
      <c r="F43">
        <v>1</v>
      </c>
      <c r="G43">
        <v>1</v>
      </c>
      <c r="H43">
        <v>2</v>
      </c>
      <c r="I43" t="s">
        <v>437</v>
      </c>
      <c r="J43" t="s">
        <v>438</v>
      </c>
      <c r="K43" t="s">
        <v>439</v>
      </c>
      <c r="L43">
        <v>1368</v>
      </c>
      <c r="N43">
        <v>1011</v>
      </c>
      <c r="O43" t="s">
        <v>341</v>
      </c>
      <c r="P43" t="s">
        <v>341</v>
      </c>
      <c r="Q43">
        <v>1</v>
      </c>
      <c r="X43">
        <v>0.08</v>
      </c>
      <c r="Y43">
        <v>0</v>
      </c>
      <c r="Z43">
        <v>99.89</v>
      </c>
      <c r="AA43">
        <v>10.06</v>
      </c>
      <c r="AB43">
        <v>0</v>
      </c>
      <c r="AC43">
        <v>0</v>
      </c>
      <c r="AD43">
        <v>1</v>
      </c>
      <c r="AE43">
        <v>0</v>
      </c>
      <c r="AF43" t="s">
        <v>19</v>
      </c>
      <c r="AG43">
        <v>0.1</v>
      </c>
      <c r="AH43">
        <v>2</v>
      </c>
      <c r="AI43">
        <v>45930191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ROW(Source!A30)</f>
        <v>30</v>
      </c>
      <c r="B44">
        <v>45930192</v>
      </c>
      <c r="C44">
        <v>45930188</v>
      </c>
      <c r="D44">
        <v>30682543</v>
      </c>
      <c r="E44">
        <v>1</v>
      </c>
      <c r="F44">
        <v>1</v>
      </c>
      <c r="G44">
        <v>1</v>
      </c>
      <c r="H44">
        <v>2</v>
      </c>
      <c r="I44" t="s">
        <v>440</v>
      </c>
      <c r="J44" t="s">
        <v>441</v>
      </c>
      <c r="K44" t="s">
        <v>442</v>
      </c>
      <c r="L44">
        <v>1368</v>
      </c>
      <c r="N44">
        <v>1011</v>
      </c>
      <c r="O44" t="s">
        <v>341</v>
      </c>
      <c r="P44" t="s">
        <v>341</v>
      </c>
      <c r="Q44">
        <v>1</v>
      </c>
      <c r="X44">
        <v>0.27</v>
      </c>
      <c r="Y44">
        <v>0</v>
      </c>
      <c r="Z44">
        <v>31.26</v>
      </c>
      <c r="AA44">
        <v>13.5</v>
      </c>
      <c r="AB44">
        <v>0</v>
      </c>
      <c r="AC44">
        <v>0</v>
      </c>
      <c r="AD44">
        <v>1</v>
      </c>
      <c r="AE44">
        <v>0</v>
      </c>
      <c r="AF44" t="s">
        <v>19</v>
      </c>
      <c r="AG44">
        <v>0.3375</v>
      </c>
      <c r="AH44">
        <v>2</v>
      </c>
      <c r="AI44">
        <v>45930192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ROW(Source!A30)</f>
        <v>30</v>
      </c>
      <c r="B45">
        <v>45930193</v>
      </c>
      <c r="C45">
        <v>45930188</v>
      </c>
      <c r="D45">
        <v>30683129</v>
      </c>
      <c r="E45">
        <v>1</v>
      </c>
      <c r="F45">
        <v>1</v>
      </c>
      <c r="G45">
        <v>1</v>
      </c>
      <c r="H45">
        <v>2</v>
      </c>
      <c r="I45" t="s">
        <v>443</v>
      </c>
      <c r="J45" t="s">
        <v>444</v>
      </c>
      <c r="K45" t="s">
        <v>445</v>
      </c>
      <c r="L45">
        <v>1368</v>
      </c>
      <c r="N45">
        <v>1011</v>
      </c>
      <c r="O45" t="s">
        <v>341</v>
      </c>
      <c r="P45" t="s">
        <v>341</v>
      </c>
      <c r="Q45">
        <v>1</v>
      </c>
      <c r="X45">
        <v>1.3</v>
      </c>
      <c r="Y45">
        <v>0</v>
      </c>
      <c r="Z45">
        <v>12.4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19</v>
      </c>
      <c r="AG45">
        <v>1.625</v>
      </c>
      <c r="AH45">
        <v>2</v>
      </c>
      <c r="AI45">
        <v>45930193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ROW(Source!A30)</f>
        <v>30</v>
      </c>
      <c r="B46">
        <v>45930194</v>
      </c>
      <c r="C46">
        <v>45930188</v>
      </c>
      <c r="D46">
        <v>30619970</v>
      </c>
      <c r="E46">
        <v>1</v>
      </c>
      <c r="F46">
        <v>1</v>
      </c>
      <c r="G46">
        <v>1</v>
      </c>
      <c r="H46">
        <v>3</v>
      </c>
      <c r="I46" t="s">
        <v>59</v>
      </c>
      <c r="J46" t="s">
        <v>61</v>
      </c>
      <c r="K46" t="s">
        <v>60</v>
      </c>
      <c r="L46">
        <v>1327</v>
      </c>
      <c r="N46">
        <v>1005</v>
      </c>
      <c r="O46" t="s">
        <v>30</v>
      </c>
      <c r="P46" t="s">
        <v>30</v>
      </c>
      <c r="Q46">
        <v>1</v>
      </c>
      <c r="X46">
        <v>99</v>
      </c>
      <c r="Y46">
        <v>71.18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99</v>
      </c>
      <c r="AH46">
        <v>2</v>
      </c>
      <c r="AI46">
        <v>45930194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ROW(Source!A30)</f>
        <v>30</v>
      </c>
      <c r="B47">
        <v>45930195</v>
      </c>
      <c r="C47">
        <v>45930188</v>
      </c>
      <c r="D47">
        <v>30619855</v>
      </c>
      <c r="E47">
        <v>1</v>
      </c>
      <c r="F47">
        <v>1</v>
      </c>
      <c r="G47">
        <v>1</v>
      </c>
      <c r="H47">
        <v>3</v>
      </c>
      <c r="I47" t="s">
        <v>446</v>
      </c>
      <c r="J47" t="s">
        <v>447</v>
      </c>
      <c r="K47" t="s">
        <v>448</v>
      </c>
      <c r="L47">
        <v>1035</v>
      </c>
      <c r="N47">
        <v>1013</v>
      </c>
      <c r="O47" t="s">
        <v>44</v>
      </c>
      <c r="P47" t="s">
        <v>44</v>
      </c>
      <c r="Q47">
        <v>1</v>
      </c>
      <c r="X47">
        <v>7</v>
      </c>
      <c r="Y47">
        <v>316.3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7</v>
      </c>
      <c r="AH47">
        <v>2</v>
      </c>
      <c r="AI47">
        <v>45930195</v>
      </c>
      <c r="AJ47">
        <v>48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ROW(Source!A30)</f>
        <v>30</v>
      </c>
      <c r="B48">
        <v>45930196</v>
      </c>
      <c r="C48">
        <v>45930188</v>
      </c>
      <c r="D48">
        <v>30617787</v>
      </c>
      <c r="E48">
        <v>1</v>
      </c>
      <c r="F48">
        <v>1</v>
      </c>
      <c r="G48">
        <v>1</v>
      </c>
      <c r="H48">
        <v>3</v>
      </c>
      <c r="I48" t="s">
        <v>449</v>
      </c>
      <c r="J48" t="s">
        <v>450</v>
      </c>
      <c r="K48" t="s">
        <v>451</v>
      </c>
      <c r="L48">
        <v>1346</v>
      </c>
      <c r="N48">
        <v>1009</v>
      </c>
      <c r="O48" t="s">
        <v>351</v>
      </c>
      <c r="P48" t="s">
        <v>351</v>
      </c>
      <c r="Q48">
        <v>1</v>
      </c>
      <c r="X48">
        <v>0.5</v>
      </c>
      <c r="Y48">
        <v>1.81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0.5</v>
      </c>
      <c r="AH48">
        <v>2</v>
      </c>
      <c r="AI48">
        <v>45930196</v>
      </c>
      <c r="AJ48">
        <v>49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ROW(Source!A30)</f>
        <v>30</v>
      </c>
      <c r="B49">
        <v>45930197</v>
      </c>
      <c r="C49">
        <v>45930188</v>
      </c>
      <c r="D49">
        <v>30619392</v>
      </c>
      <c r="E49">
        <v>1</v>
      </c>
      <c r="F49">
        <v>1</v>
      </c>
      <c r="G49">
        <v>1</v>
      </c>
      <c r="H49">
        <v>3</v>
      </c>
      <c r="I49" t="s">
        <v>452</v>
      </c>
      <c r="J49" t="s">
        <v>453</v>
      </c>
      <c r="K49" t="s">
        <v>454</v>
      </c>
      <c r="L49">
        <v>1348</v>
      </c>
      <c r="N49">
        <v>1009</v>
      </c>
      <c r="O49" t="s">
        <v>406</v>
      </c>
      <c r="P49" t="s">
        <v>406</v>
      </c>
      <c r="Q49">
        <v>1000</v>
      </c>
      <c r="X49">
        <v>0.375</v>
      </c>
      <c r="Y49">
        <v>4316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0.375</v>
      </c>
      <c r="AH49">
        <v>2</v>
      </c>
      <c r="AI49">
        <v>45930197</v>
      </c>
      <c r="AJ49">
        <v>50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ROW(Source!A30)</f>
        <v>30</v>
      </c>
      <c r="B50">
        <v>45930198</v>
      </c>
      <c r="C50">
        <v>45930188</v>
      </c>
      <c r="D50">
        <v>30655339</v>
      </c>
      <c r="E50">
        <v>1</v>
      </c>
      <c r="F50">
        <v>1</v>
      </c>
      <c r="G50">
        <v>1</v>
      </c>
      <c r="H50">
        <v>3</v>
      </c>
      <c r="I50" t="s">
        <v>455</v>
      </c>
      <c r="J50" t="s">
        <v>456</v>
      </c>
      <c r="K50" t="s">
        <v>457</v>
      </c>
      <c r="L50">
        <v>1348</v>
      </c>
      <c r="N50">
        <v>1009</v>
      </c>
      <c r="O50" t="s">
        <v>406</v>
      </c>
      <c r="P50" t="s">
        <v>406</v>
      </c>
      <c r="Q50">
        <v>1000</v>
      </c>
      <c r="X50">
        <v>0.05</v>
      </c>
      <c r="Y50">
        <v>9298.35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0.05</v>
      </c>
      <c r="AH50">
        <v>2</v>
      </c>
      <c r="AI50">
        <v>45930198</v>
      </c>
      <c r="AJ50">
        <v>51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ROW(Source!A30)</f>
        <v>30</v>
      </c>
      <c r="B51">
        <v>45930199</v>
      </c>
      <c r="C51">
        <v>45930188</v>
      </c>
      <c r="D51">
        <v>30660027</v>
      </c>
      <c r="E51">
        <v>1</v>
      </c>
      <c r="F51">
        <v>1</v>
      </c>
      <c r="G51">
        <v>1</v>
      </c>
      <c r="H51">
        <v>3</v>
      </c>
      <c r="I51" t="s">
        <v>385</v>
      </c>
      <c r="J51" t="s">
        <v>458</v>
      </c>
      <c r="K51" t="s">
        <v>387</v>
      </c>
      <c r="L51">
        <v>1339</v>
      </c>
      <c r="N51">
        <v>1007</v>
      </c>
      <c r="O51" t="s">
        <v>388</v>
      </c>
      <c r="P51" t="s">
        <v>388</v>
      </c>
      <c r="Q51">
        <v>1</v>
      </c>
      <c r="X51">
        <v>0.93</v>
      </c>
      <c r="Y51">
        <v>2.44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0.93</v>
      </c>
      <c r="AH51">
        <v>2</v>
      </c>
      <c r="AI51">
        <v>45930199</v>
      </c>
      <c r="AJ51">
        <v>52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ROW(Source!A33)</f>
        <v>33</v>
      </c>
      <c r="B52">
        <v>45926819</v>
      </c>
      <c r="C52">
        <v>45926806</v>
      </c>
      <c r="D52">
        <v>37728151</v>
      </c>
      <c r="E52">
        <v>1</v>
      </c>
      <c r="F52">
        <v>1</v>
      </c>
      <c r="G52">
        <v>1</v>
      </c>
      <c r="H52">
        <v>1</v>
      </c>
      <c r="I52" t="s">
        <v>459</v>
      </c>
      <c r="K52" t="s">
        <v>460</v>
      </c>
      <c r="L52">
        <v>1369</v>
      </c>
      <c r="N52">
        <v>1013</v>
      </c>
      <c r="O52" t="s">
        <v>335</v>
      </c>
      <c r="P52" t="s">
        <v>335</v>
      </c>
      <c r="Q52">
        <v>1</v>
      </c>
      <c r="X52">
        <v>76.63</v>
      </c>
      <c r="Y52">
        <v>0</v>
      </c>
      <c r="Z52">
        <v>0</v>
      </c>
      <c r="AA52">
        <v>0</v>
      </c>
      <c r="AB52">
        <v>8.74</v>
      </c>
      <c r="AC52">
        <v>0</v>
      </c>
      <c r="AD52">
        <v>1</v>
      </c>
      <c r="AE52">
        <v>1</v>
      </c>
      <c r="AF52" t="s">
        <v>20</v>
      </c>
      <c r="AG52">
        <v>88.12449999999998</v>
      </c>
      <c r="AH52">
        <v>2</v>
      </c>
      <c r="AI52">
        <v>45926807</v>
      </c>
      <c r="AJ52">
        <v>53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ROW(Source!A33)</f>
        <v>33</v>
      </c>
      <c r="B53">
        <v>45926820</v>
      </c>
      <c r="C53">
        <v>45926806</v>
      </c>
      <c r="D53">
        <v>121548</v>
      </c>
      <c r="E53">
        <v>1</v>
      </c>
      <c r="F53">
        <v>1</v>
      </c>
      <c r="G53">
        <v>1</v>
      </c>
      <c r="H53">
        <v>1</v>
      </c>
      <c r="I53" t="s">
        <v>32</v>
      </c>
      <c r="K53" t="s">
        <v>336</v>
      </c>
      <c r="L53">
        <v>608254</v>
      </c>
      <c r="N53">
        <v>1013</v>
      </c>
      <c r="O53" t="s">
        <v>337</v>
      </c>
      <c r="P53" t="s">
        <v>337</v>
      </c>
      <c r="Q53">
        <v>1</v>
      </c>
      <c r="X53">
        <v>4.22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19</v>
      </c>
      <c r="AG53">
        <v>5.2749999999999995</v>
      </c>
      <c r="AH53">
        <v>2</v>
      </c>
      <c r="AI53">
        <v>45926808</v>
      </c>
      <c r="AJ53">
        <v>54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ROW(Source!A33)</f>
        <v>33</v>
      </c>
      <c r="B54">
        <v>45926821</v>
      </c>
      <c r="C54">
        <v>45926806</v>
      </c>
      <c r="D54">
        <v>37726160</v>
      </c>
      <c r="E54">
        <v>1</v>
      </c>
      <c r="F54">
        <v>1</v>
      </c>
      <c r="G54">
        <v>1</v>
      </c>
      <c r="H54">
        <v>2</v>
      </c>
      <c r="I54" t="s">
        <v>437</v>
      </c>
      <c r="J54" t="s">
        <v>461</v>
      </c>
      <c r="K54" t="s">
        <v>439</v>
      </c>
      <c r="L54">
        <v>1368</v>
      </c>
      <c r="N54">
        <v>1011</v>
      </c>
      <c r="O54" t="s">
        <v>341</v>
      </c>
      <c r="P54" t="s">
        <v>341</v>
      </c>
      <c r="Q54">
        <v>1</v>
      </c>
      <c r="X54">
        <v>0.36</v>
      </c>
      <c r="Y54">
        <v>0</v>
      </c>
      <c r="Z54">
        <v>99.89</v>
      </c>
      <c r="AA54">
        <v>10.06</v>
      </c>
      <c r="AB54">
        <v>0</v>
      </c>
      <c r="AC54">
        <v>0</v>
      </c>
      <c r="AD54">
        <v>1</v>
      </c>
      <c r="AE54">
        <v>0</v>
      </c>
      <c r="AF54" t="s">
        <v>19</v>
      </c>
      <c r="AG54">
        <v>0.44999999999999996</v>
      </c>
      <c r="AH54">
        <v>2</v>
      </c>
      <c r="AI54">
        <v>45926809</v>
      </c>
      <c r="AJ54">
        <v>55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ROW(Source!A33)</f>
        <v>33</v>
      </c>
      <c r="B55">
        <v>45926822</v>
      </c>
      <c r="C55">
        <v>45926806</v>
      </c>
      <c r="D55">
        <v>37726184</v>
      </c>
      <c r="E55">
        <v>1</v>
      </c>
      <c r="F55">
        <v>1</v>
      </c>
      <c r="G55">
        <v>1</v>
      </c>
      <c r="H55">
        <v>2</v>
      </c>
      <c r="I55" t="s">
        <v>462</v>
      </c>
      <c r="J55" t="s">
        <v>463</v>
      </c>
      <c r="K55" t="s">
        <v>464</v>
      </c>
      <c r="L55">
        <v>1368</v>
      </c>
      <c r="N55">
        <v>1011</v>
      </c>
      <c r="O55" t="s">
        <v>341</v>
      </c>
      <c r="P55" t="s">
        <v>341</v>
      </c>
      <c r="Q55">
        <v>1</v>
      </c>
      <c r="X55">
        <v>2.3</v>
      </c>
      <c r="Y55">
        <v>0</v>
      </c>
      <c r="Z55">
        <v>29.46</v>
      </c>
      <c r="AA55">
        <v>11.6</v>
      </c>
      <c r="AB55">
        <v>0</v>
      </c>
      <c r="AC55">
        <v>0</v>
      </c>
      <c r="AD55">
        <v>1</v>
      </c>
      <c r="AE55">
        <v>0</v>
      </c>
      <c r="AF55" t="s">
        <v>19</v>
      </c>
      <c r="AG55">
        <v>2.875</v>
      </c>
      <c r="AH55">
        <v>2</v>
      </c>
      <c r="AI55">
        <v>45926810</v>
      </c>
      <c r="AJ55">
        <v>56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ROW(Source!A33)</f>
        <v>33</v>
      </c>
      <c r="B56">
        <v>45926823</v>
      </c>
      <c r="C56">
        <v>45926806</v>
      </c>
      <c r="D56">
        <v>37726236</v>
      </c>
      <c r="E56">
        <v>1</v>
      </c>
      <c r="F56">
        <v>1</v>
      </c>
      <c r="G56">
        <v>1</v>
      </c>
      <c r="H56">
        <v>2</v>
      </c>
      <c r="I56" t="s">
        <v>443</v>
      </c>
      <c r="J56" t="s">
        <v>465</v>
      </c>
      <c r="K56" t="s">
        <v>445</v>
      </c>
      <c r="L56">
        <v>1368</v>
      </c>
      <c r="N56">
        <v>1011</v>
      </c>
      <c r="O56" t="s">
        <v>341</v>
      </c>
      <c r="P56" t="s">
        <v>341</v>
      </c>
      <c r="Q56">
        <v>1</v>
      </c>
      <c r="X56">
        <v>1.56</v>
      </c>
      <c r="Y56">
        <v>0</v>
      </c>
      <c r="Z56">
        <v>12.4</v>
      </c>
      <c r="AA56">
        <v>10.06</v>
      </c>
      <c r="AB56">
        <v>0</v>
      </c>
      <c r="AC56">
        <v>0</v>
      </c>
      <c r="AD56">
        <v>1</v>
      </c>
      <c r="AE56">
        <v>0</v>
      </c>
      <c r="AF56" t="s">
        <v>19</v>
      </c>
      <c r="AG56">
        <v>1.9500000000000002</v>
      </c>
      <c r="AH56">
        <v>2</v>
      </c>
      <c r="AI56">
        <v>45926811</v>
      </c>
      <c r="AJ56">
        <v>57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ROW(Source!A33)</f>
        <v>33</v>
      </c>
      <c r="B57">
        <v>45926824</v>
      </c>
      <c r="C57">
        <v>45926806</v>
      </c>
      <c r="D57">
        <v>37726396</v>
      </c>
      <c r="E57">
        <v>1</v>
      </c>
      <c r="F57">
        <v>1</v>
      </c>
      <c r="G57">
        <v>1</v>
      </c>
      <c r="H57">
        <v>2</v>
      </c>
      <c r="I57" t="s">
        <v>466</v>
      </c>
      <c r="J57" t="s">
        <v>467</v>
      </c>
      <c r="K57" t="s">
        <v>468</v>
      </c>
      <c r="L57">
        <v>1368</v>
      </c>
      <c r="N57">
        <v>1011</v>
      </c>
      <c r="O57" t="s">
        <v>341</v>
      </c>
      <c r="P57" t="s">
        <v>341</v>
      </c>
      <c r="Q57">
        <v>1</v>
      </c>
      <c r="X57">
        <v>0.05</v>
      </c>
      <c r="Y57">
        <v>0</v>
      </c>
      <c r="Z57">
        <v>9.97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0.0625</v>
      </c>
      <c r="AH57">
        <v>2</v>
      </c>
      <c r="AI57">
        <v>45926812</v>
      </c>
      <c r="AJ57">
        <v>58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ROW(Source!A33)</f>
        <v>33</v>
      </c>
      <c r="B58">
        <v>45926825</v>
      </c>
      <c r="C58">
        <v>45926806</v>
      </c>
      <c r="D58">
        <v>37726429</v>
      </c>
      <c r="E58">
        <v>1</v>
      </c>
      <c r="F58">
        <v>1</v>
      </c>
      <c r="G58">
        <v>1</v>
      </c>
      <c r="H58">
        <v>2</v>
      </c>
      <c r="I58" t="s">
        <v>400</v>
      </c>
      <c r="J58" t="s">
        <v>469</v>
      </c>
      <c r="K58" t="s">
        <v>402</v>
      </c>
      <c r="L58">
        <v>1368</v>
      </c>
      <c r="N58">
        <v>1011</v>
      </c>
      <c r="O58" t="s">
        <v>341</v>
      </c>
      <c r="P58" t="s">
        <v>341</v>
      </c>
      <c r="Q58">
        <v>1</v>
      </c>
      <c r="X58">
        <v>0.28</v>
      </c>
      <c r="Y58">
        <v>0</v>
      </c>
      <c r="Z58">
        <v>87.17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0.35000000000000003</v>
      </c>
      <c r="AH58">
        <v>2</v>
      </c>
      <c r="AI58">
        <v>45926813</v>
      </c>
      <c r="AJ58">
        <v>59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ROW(Source!A33)</f>
        <v>33</v>
      </c>
      <c r="B59">
        <v>45926826</v>
      </c>
      <c r="C59">
        <v>45926806</v>
      </c>
      <c r="D59">
        <v>37724506</v>
      </c>
      <c r="E59">
        <v>1</v>
      </c>
      <c r="F59">
        <v>1</v>
      </c>
      <c r="G59">
        <v>1</v>
      </c>
      <c r="H59">
        <v>3</v>
      </c>
      <c r="I59" t="s">
        <v>449</v>
      </c>
      <c r="J59" t="s">
        <v>470</v>
      </c>
      <c r="K59" t="s">
        <v>451</v>
      </c>
      <c r="L59">
        <v>1346</v>
      </c>
      <c r="N59">
        <v>1009</v>
      </c>
      <c r="O59" t="s">
        <v>351</v>
      </c>
      <c r="P59" t="s">
        <v>351</v>
      </c>
      <c r="Q59">
        <v>1</v>
      </c>
      <c r="X59">
        <v>0.5</v>
      </c>
      <c r="Y59">
        <v>1.81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0.5</v>
      </c>
      <c r="AH59">
        <v>2</v>
      </c>
      <c r="AI59">
        <v>45926814</v>
      </c>
      <c r="AJ59">
        <v>60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ROW(Source!A33)</f>
        <v>33</v>
      </c>
      <c r="B60">
        <v>45926827</v>
      </c>
      <c r="C60">
        <v>45926806</v>
      </c>
      <c r="D60">
        <v>37724508</v>
      </c>
      <c r="E60">
        <v>1</v>
      </c>
      <c r="F60">
        <v>1</v>
      </c>
      <c r="G60">
        <v>1</v>
      </c>
      <c r="H60">
        <v>3</v>
      </c>
      <c r="I60" t="s">
        <v>471</v>
      </c>
      <c r="J60" t="s">
        <v>472</v>
      </c>
      <c r="K60" t="s">
        <v>473</v>
      </c>
      <c r="L60">
        <v>1348</v>
      </c>
      <c r="N60">
        <v>1009</v>
      </c>
      <c r="O60" t="s">
        <v>406</v>
      </c>
      <c r="P60" t="s">
        <v>406</v>
      </c>
      <c r="Q60">
        <v>1000</v>
      </c>
      <c r="X60">
        <v>0.05</v>
      </c>
      <c r="Y60">
        <v>6532.53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0.05</v>
      </c>
      <c r="AH60">
        <v>2</v>
      </c>
      <c r="AI60">
        <v>45926815</v>
      </c>
      <c r="AJ60">
        <v>61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ROW(Source!A33)</f>
        <v>33</v>
      </c>
      <c r="B61">
        <v>45926828</v>
      </c>
      <c r="C61">
        <v>45926806</v>
      </c>
      <c r="D61">
        <v>37724553</v>
      </c>
      <c r="E61">
        <v>1</v>
      </c>
      <c r="F61">
        <v>1</v>
      </c>
      <c r="G61">
        <v>1</v>
      </c>
      <c r="H61">
        <v>3</v>
      </c>
      <c r="I61" t="s">
        <v>474</v>
      </c>
      <c r="J61" t="s">
        <v>475</v>
      </c>
      <c r="K61" t="s">
        <v>476</v>
      </c>
      <c r="L61">
        <v>1346</v>
      </c>
      <c r="N61">
        <v>1009</v>
      </c>
      <c r="O61" t="s">
        <v>351</v>
      </c>
      <c r="P61" t="s">
        <v>351</v>
      </c>
      <c r="Q61">
        <v>1</v>
      </c>
      <c r="X61">
        <v>430</v>
      </c>
      <c r="Y61">
        <v>3.86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430</v>
      </c>
      <c r="AH61">
        <v>2</v>
      </c>
      <c r="AI61">
        <v>45926816</v>
      </c>
      <c r="AJ61">
        <v>62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ROW(Source!A33)</f>
        <v>33</v>
      </c>
      <c r="B62">
        <v>45926829</v>
      </c>
      <c r="C62">
        <v>45926806</v>
      </c>
      <c r="D62">
        <v>37724568</v>
      </c>
      <c r="E62">
        <v>1</v>
      </c>
      <c r="F62">
        <v>1</v>
      </c>
      <c r="G62">
        <v>1</v>
      </c>
      <c r="H62">
        <v>3</v>
      </c>
      <c r="I62" t="s">
        <v>477</v>
      </c>
      <c r="J62" t="s">
        <v>478</v>
      </c>
      <c r="K62" t="s">
        <v>479</v>
      </c>
      <c r="L62">
        <v>1327</v>
      </c>
      <c r="N62">
        <v>1005</v>
      </c>
      <c r="O62" t="s">
        <v>30</v>
      </c>
      <c r="P62" t="s">
        <v>30</v>
      </c>
      <c r="Q62">
        <v>1</v>
      </c>
      <c r="X62">
        <v>102</v>
      </c>
      <c r="Y62">
        <v>69.21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102</v>
      </c>
      <c r="AH62">
        <v>2</v>
      </c>
      <c r="AI62">
        <v>45926817</v>
      </c>
      <c r="AJ62">
        <v>63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ROW(Source!A33)</f>
        <v>33</v>
      </c>
      <c r="B63">
        <v>45926830</v>
      </c>
      <c r="C63">
        <v>45926806</v>
      </c>
      <c r="D63">
        <v>37725428</v>
      </c>
      <c r="E63">
        <v>1</v>
      </c>
      <c r="F63">
        <v>1</v>
      </c>
      <c r="G63">
        <v>1</v>
      </c>
      <c r="H63">
        <v>3</v>
      </c>
      <c r="I63" t="s">
        <v>385</v>
      </c>
      <c r="J63" t="s">
        <v>386</v>
      </c>
      <c r="K63" t="s">
        <v>387</v>
      </c>
      <c r="L63">
        <v>1339</v>
      </c>
      <c r="N63">
        <v>1007</v>
      </c>
      <c r="O63" t="s">
        <v>388</v>
      </c>
      <c r="P63" t="s">
        <v>388</v>
      </c>
      <c r="Q63">
        <v>1</v>
      </c>
      <c r="X63">
        <v>3.5</v>
      </c>
      <c r="Y63">
        <v>2.44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3.5</v>
      </c>
      <c r="AH63">
        <v>2</v>
      </c>
      <c r="AI63">
        <v>45926818</v>
      </c>
      <c r="AJ63">
        <v>64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ROW(Source!A34)</f>
        <v>34</v>
      </c>
      <c r="B64">
        <v>45926837</v>
      </c>
      <c r="C64">
        <v>45926831</v>
      </c>
      <c r="D64">
        <v>13665997</v>
      </c>
      <c r="E64">
        <v>1</v>
      </c>
      <c r="F64">
        <v>1</v>
      </c>
      <c r="G64">
        <v>1</v>
      </c>
      <c r="H64">
        <v>1</v>
      </c>
      <c r="I64" t="s">
        <v>480</v>
      </c>
      <c r="K64" t="s">
        <v>481</v>
      </c>
      <c r="L64">
        <v>1369</v>
      </c>
      <c r="N64">
        <v>1013</v>
      </c>
      <c r="O64" t="s">
        <v>335</v>
      </c>
      <c r="P64" t="s">
        <v>335</v>
      </c>
      <c r="Q64">
        <v>1</v>
      </c>
      <c r="X64">
        <v>25.61</v>
      </c>
      <c r="Y64">
        <v>0</v>
      </c>
      <c r="Z64">
        <v>0</v>
      </c>
      <c r="AA64">
        <v>0</v>
      </c>
      <c r="AB64">
        <v>9.4</v>
      </c>
      <c r="AC64">
        <v>0</v>
      </c>
      <c r="AD64">
        <v>1</v>
      </c>
      <c r="AE64">
        <v>1</v>
      </c>
      <c r="AF64" t="s">
        <v>20</v>
      </c>
      <c r="AG64">
        <v>29.451499999999996</v>
      </c>
      <c r="AH64">
        <v>2</v>
      </c>
      <c r="AI64">
        <v>45926832</v>
      </c>
      <c r="AJ64">
        <v>65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ROW(Source!A34)</f>
        <v>34</v>
      </c>
      <c r="B65">
        <v>45926838</v>
      </c>
      <c r="C65">
        <v>45926831</v>
      </c>
      <c r="D65">
        <v>30684579</v>
      </c>
      <c r="E65">
        <v>1</v>
      </c>
      <c r="F65">
        <v>1</v>
      </c>
      <c r="G65">
        <v>1</v>
      </c>
      <c r="H65">
        <v>2</v>
      </c>
      <c r="I65" t="s">
        <v>482</v>
      </c>
      <c r="J65" t="s">
        <v>483</v>
      </c>
      <c r="K65" t="s">
        <v>484</v>
      </c>
      <c r="L65">
        <v>1368</v>
      </c>
      <c r="N65">
        <v>1011</v>
      </c>
      <c r="O65" t="s">
        <v>341</v>
      </c>
      <c r="P65" t="s">
        <v>341</v>
      </c>
      <c r="Q65">
        <v>1</v>
      </c>
      <c r="X65">
        <v>0.83</v>
      </c>
      <c r="Y65">
        <v>0</v>
      </c>
      <c r="Z65">
        <v>0.95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19</v>
      </c>
      <c r="AG65">
        <v>1.0374999999999999</v>
      </c>
      <c r="AH65">
        <v>2</v>
      </c>
      <c r="AI65">
        <v>45926833</v>
      </c>
      <c r="AJ65">
        <v>66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ROW(Source!A34)</f>
        <v>34</v>
      </c>
      <c r="B66">
        <v>45926839</v>
      </c>
      <c r="C66">
        <v>45926831</v>
      </c>
      <c r="D66">
        <v>30684901</v>
      </c>
      <c r="E66">
        <v>1</v>
      </c>
      <c r="F66">
        <v>1</v>
      </c>
      <c r="G66">
        <v>1</v>
      </c>
      <c r="H66">
        <v>2</v>
      </c>
      <c r="I66" t="s">
        <v>400</v>
      </c>
      <c r="J66" t="s">
        <v>485</v>
      </c>
      <c r="K66" t="s">
        <v>402</v>
      </c>
      <c r="L66">
        <v>1368</v>
      </c>
      <c r="N66">
        <v>1011</v>
      </c>
      <c r="O66" t="s">
        <v>341</v>
      </c>
      <c r="P66" t="s">
        <v>341</v>
      </c>
      <c r="Q66">
        <v>1</v>
      </c>
      <c r="X66">
        <v>0.1</v>
      </c>
      <c r="Y66">
        <v>0</v>
      </c>
      <c r="Z66">
        <v>87.17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19</v>
      </c>
      <c r="AG66">
        <v>0.125</v>
      </c>
      <c r="AH66">
        <v>2</v>
      </c>
      <c r="AI66">
        <v>45926834</v>
      </c>
      <c r="AJ66">
        <v>67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ROW(Source!A34)</f>
        <v>34</v>
      </c>
      <c r="B67">
        <v>45926840</v>
      </c>
      <c r="C67">
        <v>45926831</v>
      </c>
      <c r="D67">
        <v>30618175</v>
      </c>
      <c r="E67">
        <v>1</v>
      </c>
      <c r="F67">
        <v>1</v>
      </c>
      <c r="G67">
        <v>1</v>
      </c>
      <c r="H67">
        <v>3</v>
      </c>
      <c r="I67" t="s">
        <v>486</v>
      </c>
      <c r="J67" t="s">
        <v>487</v>
      </c>
      <c r="K67" t="s">
        <v>488</v>
      </c>
      <c r="L67">
        <v>1330</v>
      </c>
      <c r="N67">
        <v>1005</v>
      </c>
      <c r="O67" t="s">
        <v>489</v>
      </c>
      <c r="P67" t="s">
        <v>489</v>
      </c>
      <c r="Q67">
        <v>10</v>
      </c>
      <c r="X67">
        <v>10.5</v>
      </c>
      <c r="Y67">
        <v>35.9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10.5</v>
      </c>
      <c r="AH67">
        <v>2</v>
      </c>
      <c r="AI67">
        <v>45926835</v>
      </c>
      <c r="AJ67">
        <v>68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ROW(Source!A34)</f>
        <v>34</v>
      </c>
      <c r="B68">
        <v>45926841</v>
      </c>
      <c r="C68">
        <v>45926831</v>
      </c>
      <c r="D68">
        <v>30621059</v>
      </c>
      <c r="E68">
        <v>1</v>
      </c>
      <c r="F68">
        <v>1</v>
      </c>
      <c r="G68">
        <v>1</v>
      </c>
      <c r="H68">
        <v>3</v>
      </c>
      <c r="I68" t="s">
        <v>490</v>
      </c>
      <c r="J68" t="s">
        <v>491</v>
      </c>
      <c r="K68" t="s">
        <v>492</v>
      </c>
      <c r="L68">
        <v>1327</v>
      </c>
      <c r="N68">
        <v>1005</v>
      </c>
      <c r="O68" t="s">
        <v>30</v>
      </c>
      <c r="P68" t="s">
        <v>30</v>
      </c>
      <c r="Q68">
        <v>1</v>
      </c>
      <c r="X68">
        <v>102.5</v>
      </c>
      <c r="Y68">
        <v>98.93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102.5</v>
      </c>
      <c r="AH68">
        <v>2</v>
      </c>
      <c r="AI68">
        <v>45926836</v>
      </c>
      <c r="AJ68">
        <v>69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ROW(Source!A35)</f>
        <v>35</v>
      </c>
      <c r="B69">
        <v>45926849</v>
      </c>
      <c r="C69">
        <v>45926842</v>
      </c>
      <c r="D69">
        <v>13669023</v>
      </c>
      <c r="E69">
        <v>1</v>
      </c>
      <c r="F69">
        <v>1</v>
      </c>
      <c r="G69">
        <v>1</v>
      </c>
      <c r="H69">
        <v>1</v>
      </c>
      <c r="I69" t="s">
        <v>493</v>
      </c>
      <c r="K69" t="s">
        <v>494</v>
      </c>
      <c r="L69">
        <v>1369</v>
      </c>
      <c r="N69">
        <v>1013</v>
      </c>
      <c r="O69" t="s">
        <v>335</v>
      </c>
      <c r="P69" t="s">
        <v>335</v>
      </c>
      <c r="Q69">
        <v>1</v>
      </c>
      <c r="X69">
        <v>16.64</v>
      </c>
      <c r="Y69">
        <v>0</v>
      </c>
      <c r="Z69">
        <v>0</v>
      </c>
      <c r="AA69">
        <v>0</v>
      </c>
      <c r="AB69">
        <v>8.74</v>
      </c>
      <c r="AC69">
        <v>0</v>
      </c>
      <c r="AD69">
        <v>1</v>
      </c>
      <c r="AE69">
        <v>1</v>
      </c>
      <c r="AF69" t="s">
        <v>20</v>
      </c>
      <c r="AG69">
        <v>19.136</v>
      </c>
      <c r="AH69">
        <v>2</v>
      </c>
      <c r="AI69">
        <v>45926843</v>
      </c>
      <c r="AJ69">
        <v>70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ROW(Source!A35)</f>
        <v>35</v>
      </c>
      <c r="B70">
        <v>45926850</v>
      </c>
      <c r="C70">
        <v>45926842</v>
      </c>
      <c r="D70">
        <v>30683460</v>
      </c>
      <c r="E70">
        <v>1</v>
      </c>
      <c r="F70">
        <v>1</v>
      </c>
      <c r="G70">
        <v>1</v>
      </c>
      <c r="H70">
        <v>2</v>
      </c>
      <c r="I70" t="s">
        <v>342</v>
      </c>
      <c r="J70" t="s">
        <v>495</v>
      </c>
      <c r="K70" t="s">
        <v>344</v>
      </c>
      <c r="L70">
        <v>1368</v>
      </c>
      <c r="N70">
        <v>1011</v>
      </c>
      <c r="O70" t="s">
        <v>341</v>
      </c>
      <c r="P70" t="s">
        <v>341</v>
      </c>
      <c r="Q70">
        <v>1</v>
      </c>
      <c r="X70">
        <v>4.6</v>
      </c>
      <c r="Y70">
        <v>0</v>
      </c>
      <c r="Z70">
        <v>3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19</v>
      </c>
      <c r="AG70">
        <v>5.75</v>
      </c>
      <c r="AH70">
        <v>2</v>
      </c>
      <c r="AI70">
        <v>45926844</v>
      </c>
      <c r="AJ70">
        <v>71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ROW(Source!A35)</f>
        <v>35</v>
      </c>
      <c r="B71">
        <v>45926851</v>
      </c>
      <c r="C71">
        <v>45926842</v>
      </c>
      <c r="D71">
        <v>30684488</v>
      </c>
      <c r="E71">
        <v>1</v>
      </c>
      <c r="F71">
        <v>1</v>
      </c>
      <c r="G71">
        <v>1</v>
      </c>
      <c r="H71">
        <v>2</v>
      </c>
      <c r="I71" t="s">
        <v>496</v>
      </c>
      <c r="J71" t="s">
        <v>497</v>
      </c>
      <c r="K71" t="s">
        <v>498</v>
      </c>
      <c r="L71">
        <v>1368</v>
      </c>
      <c r="N71">
        <v>1011</v>
      </c>
      <c r="O71" t="s">
        <v>341</v>
      </c>
      <c r="P71" t="s">
        <v>341</v>
      </c>
      <c r="Q71">
        <v>1</v>
      </c>
      <c r="X71">
        <v>4.6</v>
      </c>
      <c r="Y71">
        <v>0</v>
      </c>
      <c r="Z71">
        <v>1.95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</v>
      </c>
      <c r="AG71">
        <v>5.75</v>
      </c>
      <c r="AH71">
        <v>2</v>
      </c>
      <c r="AI71">
        <v>45926845</v>
      </c>
      <c r="AJ71">
        <v>72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ROW(Source!A35)</f>
        <v>35</v>
      </c>
      <c r="B72">
        <v>45926852</v>
      </c>
      <c r="C72">
        <v>45926842</v>
      </c>
      <c r="D72">
        <v>30684579</v>
      </c>
      <c r="E72">
        <v>1</v>
      </c>
      <c r="F72">
        <v>1</v>
      </c>
      <c r="G72">
        <v>1</v>
      </c>
      <c r="H72">
        <v>2</v>
      </c>
      <c r="I72" t="s">
        <v>482</v>
      </c>
      <c r="J72" t="s">
        <v>483</v>
      </c>
      <c r="K72" t="s">
        <v>484</v>
      </c>
      <c r="L72">
        <v>1368</v>
      </c>
      <c r="N72">
        <v>1011</v>
      </c>
      <c r="O72" t="s">
        <v>341</v>
      </c>
      <c r="P72" t="s">
        <v>341</v>
      </c>
      <c r="Q72">
        <v>1</v>
      </c>
      <c r="X72">
        <v>0.36</v>
      </c>
      <c r="Y72">
        <v>0</v>
      </c>
      <c r="Z72">
        <v>0.95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19</v>
      </c>
      <c r="AG72">
        <v>0.44999999999999996</v>
      </c>
      <c r="AH72">
        <v>2</v>
      </c>
      <c r="AI72">
        <v>45926846</v>
      </c>
      <c r="AJ72">
        <v>73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ROW(Source!A35)</f>
        <v>35</v>
      </c>
      <c r="B73">
        <v>45926853</v>
      </c>
      <c r="C73">
        <v>45926842</v>
      </c>
      <c r="D73">
        <v>30624292</v>
      </c>
      <c r="E73">
        <v>1</v>
      </c>
      <c r="F73">
        <v>1</v>
      </c>
      <c r="G73">
        <v>1</v>
      </c>
      <c r="H73">
        <v>3</v>
      </c>
      <c r="I73" t="s">
        <v>499</v>
      </c>
      <c r="J73" t="s">
        <v>500</v>
      </c>
      <c r="K73" t="s">
        <v>501</v>
      </c>
      <c r="L73">
        <v>1355</v>
      </c>
      <c r="N73">
        <v>1010</v>
      </c>
      <c r="O73" t="s">
        <v>206</v>
      </c>
      <c r="P73" t="s">
        <v>206</v>
      </c>
      <c r="Q73">
        <v>100</v>
      </c>
      <c r="X73">
        <v>6.7</v>
      </c>
      <c r="Y73">
        <v>12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G73">
        <v>6.7</v>
      </c>
      <c r="AH73">
        <v>2</v>
      </c>
      <c r="AI73">
        <v>45926847</v>
      </c>
      <c r="AJ73">
        <v>74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ROW(Source!A35)</f>
        <v>35</v>
      </c>
      <c r="B74">
        <v>45926854</v>
      </c>
      <c r="C74">
        <v>45926842</v>
      </c>
      <c r="D74">
        <v>30643067</v>
      </c>
      <c r="E74">
        <v>1</v>
      </c>
      <c r="F74">
        <v>1</v>
      </c>
      <c r="G74">
        <v>1</v>
      </c>
      <c r="H74">
        <v>3</v>
      </c>
      <c r="I74" t="s">
        <v>678</v>
      </c>
      <c r="J74" t="s">
        <v>679</v>
      </c>
      <c r="K74" t="s">
        <v>680</v>
      </c>
      <c r="L74">
        <v>1301</v>
      </c>
      <c r="N74">
        <v>1003</v>
      </c>
      <c r="O74" t="s">
        <v>85</v>
      </c>
      <c r="P74" t="s">
        <v>85</v>
      </c>
      <c r="Q74">
        <v>1</v>
      </c>
      <c r="X74">
        <v>105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G74">
        <v>105</v>
      </c>
      <c r="AH74">
        <v>3</v>
      </c>
      <c r="AI74">
        <v>-1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ROW(Source!A37)</f>
        <v>37</v>
      </c>
      <c r="B75">
        <v>45926867</v>
      </c>
      <c r="C75">
        <v>45926856</v>
      </c>
      <c r="D75">
        <v>13665997</v>
      </c>
      <c r="E75">
        <v>1</v>
      </c>
      <c r="F75">
        <v>1</v>
      </c>
      <c r="G75">
        <v>1</v>
      </c>
      <c r="H75">
        <v>1</v>
      </c>
      <c r="I75" t="s">
        <v>480</v>
      </c>
      <c r="K75" t="s">
        <v>481</v>
      </c>
      <c r="L75">
        <v>1369</v>
      </c>
      <c r="N75">
        <v>1013</v>
      </c>
      <c r="O75" t="s">
        <v>335</v>
      </c>
      <c r="P75" t="s">
        <v>335</v>
      </c>
      <c r="Q75">
        <v>1</v>
      </c>
      <c r="X75">
        <v>108.36</v>
      </c>
      <c r="Y75">
        <v>0</v>
      </c>
      <c r="Z75">
        <v>0</v>
      </c>
      <c r="AA75">
        <v>0</v>
      </c>
      <c r="AB75">
        <v>9.4</v>
      </c>
      <c r="AC75">
        <v>0</v>
      </c>
      <c r="AD75">
        <v>1</v>
      </c>
      <c r="AE75">
        <v>1</v>
      </c>
      <c r="AF75" t="s">
        <v>20</v>
      </c>
      <c r="AG75">
        <v>124.61399999999999</v>
      </c>
      <c r="AH75">
        <v>2</v>
      </c>
      <c r="AI75">
        <v>45926857</v>
      </c>
      <c r="AJ75">
        <v>76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ROW(Source!A37)</f>
        <v>37</v>
      </c>
      <c r="B76">
        <v>45926868</v>
      </c>
      <c r="C76">
        <v>45926856</v>
      </c>
      <c r="D76">
        <v>121548</v>
      </c>
      <c r="E76">
        <v>1</v>
      </c>
      <c r="F76">
        <v>1</v>
      </c>
      <c r="G76">
        <v>1</v>
      </c>
      <c r="H76">
        <v>1</v>
      </c>
      <c r="I76" t="s">
        <v>32</v>
      </c>
      <c r="K76" t="s">
        <v>336</v>
      </c>
      <c r="L76">
        <v>608254</v>
      </c>
      <c r="N76">
        <v>1013</v>
      </c>
      <c r="O76" t="s">
        <v>337</v>
      </c>
      <c r="P76" t="s">
        <v>337</v>
      </c>
      <c r="Q76">
        <v>1</v>
      </c>
      <c r="X76">
        <v>0.25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19</v>
      </c>
      <c r="AG76">
        <v>0.3125</v>
      </c>
      <c r="AH76">
        <v>2</v>
      </c>
      <c r="AI76">
        <v>45926858</v>
      </c>
      <c r="AJ76">
        <v>77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ROW(Source!A37)</f>
        <v>37</v>
      </c>
      <c r="B77">
        <v>45926869</v>
      </c>
      <c r="C77">
        <v>45926856</v>
      </c>
      <c r="D77">
        <v>30682366</v>
      </c>
      <c r="E77">
        <v>1</v>
      </c>
      <c r="F77">
        <v>1</v>
      </c>
      <c r="G77">
        <v>1</v>
      </c>
      <c r="H77">
        <v>2</v>
      </c>
      <c r="I77" t="s">
        <v>394</v>
      </c>
      <c r="J77" t="s">
        <v>502</v>
      </c>
      <c r="K77" t="s">
        <v>396</v>
      </c>
      <c r="L77">
        <v>1368</v>
      </c>
      <c r="N77">
        <v>1011</v>
      </c>
      <c r="O77" t="s">
        <v>341</v>
      </c>
      <c r="P77" t="s">
        <v>341</v>
      </c>
      <c r="Q77">
        <v>1</v>
      </c>
      <c r="X77">
        <v>0.25</v>
      </c>
      <c r="Y77">
        <v>0</v>
      </c>
      <c r="Z77">
        <v>112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19</v>
      </c>
      <c r="AG77">
        <v>0.3125</v>
      </c>
      <c r="AH77">
        <v>2</v>
      </c>
      <c r="AI77">
        <v>45926859</v>
      </c>
      <c r="AJ77">
        <v>78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ROW(Source!A37)</f>
        <v>37</v>
      </c>
      <c r="B78">
        <v>45926870</v>
      </c>
      <c r="C78">
        <v>45926856</v>
      </c>
      <c r="D78">
        <v>30682503</v>
      </c>
      <c r="E78">
        <v>1</v>
      </c>
      <c r="F78">
        <v>1</v>
      </c>
      <c r="G78">
        <v>1</v>
      </c>
      <c r="H78">
        <v>2</v>
      </c>
      <c r="I78" t="s">
        <v>503</v>
      </c>
      <c r="J78" t="s">
        <v>504</v>
      </c>
      <c r="K78" t="s">
        <v>505</v>
      </c>
      <c r="L78">
        <v>1368</v>
      </c>
      <c r="N78">
        <v>1011</v>
      </c>
      <c r="O78" t="s">
        <v>341</v>
      </c>
      <c r="P78" t="s">
        <v>341</v>
      </c>
      <c r="Q78">
        <v>1</v>
      </c>
      <c r="X78">
        <v>16.2</v>
      </c>
      <c r="Y78">
        <v>0</v>
      </c>
      <c r="Z78">
        <v>6.9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19</v>
      </c>
      <c r="AG78">
        <v>20.25</v>
      </c>
      <c r="AH78">
        <v>2</v>
      </c>
      <c r="AI78">
        <v>45926860</v>
      </c>
      <c r="AJ78">
        <v>79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ROW(Source!A37)</f>
        <v>37</v>
      </c>
      <c r="B79">
        <v>45926871</v>
      </c>
      <c r="C79">
        <v>45926856</v>
      </c>
      <c r="D79">
        <v>30684488</v>
      </c>
      <c r="E79">
        <v>1</v>
      </c>
      <c r="F79">
        <v>1</v>
      </c>
      <c r="G79">
        <v>1</v>
      </c>
      <c r="H79">
        <v>2</v>
      </c>
      <c r="I79" t="s">
        <v>496</v>
      </c>
      <c r="J79" t="s">
        <v>497</v>
      </c>
      <c r="K79" t="s">
        <v>498</v>
      </c>
      <c r="L79">
        <v>1368</v>
      </c>
      <c r="N79">
        <v>1011</v>
      </c>
      <c r="O79" t="s">
        <v>341</v>
      </c>
      <c r="P79" t="s">
        <v>341</v>
      </c>
      <c r="Q79">
        <v>1</v>
      </c>
      <c r="X79">
        <v>3.54</v>
      </c>
      <c r="Y79">
        <v>0</v>
      </c>
      <c r="Z79">
        <v>1.95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19</v>
      </c>
      <c r="AG79">
        <v>4.425</v>
      </c>
      <c r="AH79">
        <v>2</v>
      </c>
      <c r="AI79">
        <v>45926861</v>
      </c>
      <c r="AJ79">
        <v>80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ROW(Source!A37)</f>
        <v>37</v>
      </c>
      <c r="B80">
        <v>45926872</v>
      </c>
      <c r="C80">
        <v>45926856</v>
      </c>
      <c r="D80">
        <v>30684901</v>
      </c>
      <c r="E80">
        <v>1</v>
      </c>
      <c r="F80">
        <v>1</v>
      </c>
      <c r="G80">
        <v>1</v>
      </c>
      <c r="H80">
        <v>2</v>
      </c>
      <c r="I80" t="s">
        <v>400</v>
      </c>
      <c r="J80" t="s">
        <v>485</v>
      </c>
      <c r="K80" t="s">
        <v>402</v>
      </c>
      <c r="L80">
        <v>1368</v>
      </c>
      <c r="N80">
        <v>1011</v>
      </c>
      <c r="O80" t="s">
        <v>341</v>
      </c>
      <c r="P80" t="s">
        <v>341</v>
      </c>
      <c r="Q80">
        <v>1</v>
      </c>
      <c r="X80">
        <v>0.14</v>
      </c>
      <c r="Y80">
        <v>0</v>
      </c>
      <c r="Z80">
        <v>87.17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19</v>
      </c>
      <c r="AG80">
        <v>0.17500000000000002</v>
      </c>
      <c r="AH80">
        <v>2</v>
      </c>
      <c r="AI80">
        <v>45926862</v>
      </c>
      <c r="AJ80">
        <v>81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ROW(Source!A37)</f>
        <v>37</v>
      </c>
      <c r="B81">
        <v>45926873</v>
      </c>
      <c r="C81">
        <v>45926856</v>
      </c>
      <c r="D81">
        <v>30642992</v>
      </c>
      <c r="E81">
        <v>1</v>
      </c>
      <c r="F81">
        <v>1</v>
      </c>
      <c r="G81">
        <v>1</v>
      </c>
      <c r="H81">
        <v>3</v>
      </c>
      <c r="I81" t="s">
        <v>506</v>
      </c>
      <c r="J81" t="s">
        <v>507</v>
      </c>
      <c r="K81" t="s">
        <v>508</v>
      </c>
      <c r="L81">
        <v>1301</v>
      </c>
      <c r="N81">
        <v>1003</v>
      </c>
      <c r="O81" t="s">
        <v>85</v>
      </c>
      <c r="P81" t="s">
        <v>85</v>
      </c>
      <c r="Q81">
        <v>1</v>
      </c>
      <c r="X81">
        <v>1050</v>
      </c>
      <c r="Y81">
        <v>25.1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1050</v>
      </c>
      <c r="AH81">
        <v>2</v>
      </c>
      <c r="AI81">
        <v>45926863</v>
      </c>
      <c r="AJ81">
        <v>82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ROW(Source!A37)</f>
        <v>37</v>
      </c>
      <c r="B82">
        <v>45926874</v>
      </c>
      <c r="C82">
        <v>45926856</v>
      </c>
      <c r="D82">
        <v>30642994</v>
      </c>
      <c r="E82">
        <v>1</v>
      </c>
      <c r="F82">
        <v>1</v>
      </c>
      <c r="G82">
        <v>1</v>
      </c>
      <c r="H82">
        <v>3</v>
      </c>
      <c r="I82" t="s">
        <v>509</v>
      </c>
      <c r="J82" t="s">
        <v>510</v>
      </c>
      <c r="K82" t="s">
        <v>511</v>
      </c>
      <c r="L82">
        <v>1301</v>
      </c>
      <c r="N82">
        <v>1003</v>
      </c>
      <c r="O82" t="s">
        <v>85</v>
      </c>
      <c r="P82" t="s">
        <v>85</v>
      </c>
      <c r="Q82">
        <v>1</v>
      </c>
      <c r="X82">
        <v>100</v>
      </c>
      <c r="Y82">
        <v>20.79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100</v>
      </c>
      <c r="AH82">
        <v>2</v>
      </c>
      <c r="AI82">
        <v>45926864</v>
      </c>
      <c r="AJ82">
        <v>83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ROW(Source!A37)</f>
        <v>37</v>
      </c>
      <c r="B83">
        <v>45926875</v>
      </c>
      <c r="C83">
        <v>45926856</v>
      </c>
      <c r="D83">
        <v>30642995</v>
      </c>
      <c r="E83">
        <v>1</v>
      </c>
      <c r="F83">
        <v>1</v>
      </c>
      <c r="G83">
        <v>1</v>
      </c>
      <c r="H83">
        <v>3</v>
      </c>
      <c r="I83" t="s">
        <v>92</v>
      </c>
      <c r="J83" t="s">
        <v>94</v>
      </c>
      <c r="K83" t="s">
        <v>93</v>
      </c>
      <c r="L83">
        <v>1301</v>
      </c>
      <c r="N83">
        <v>1003</v>
      </c>
      <c r="O83" t="s">
        <v>85</v>
      </c>
      <c r="P83" t="s">
        <v>85</v>
      </c>
      <c r="Q83">
        <v>1</v>
      </c>
      <c r="X83">
        <v>0</v>
      </c>
      <c r="Y83">
        <v>6.36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0</v>
      </c>
      <c r="AH83">
        <v>2</v>
      </c>
      <c r="AI83">
        <v>45926865</v>
      </c>
      <c r="AJ83">
        <v>84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ROW(Source!A37)</f>
        <v>37</v>
      </c>
      <c r="B84">
        <v>45926876</v>
      </c>
      <c r="C84">
        <v>45926856</v>
      </c>
      <c r="D84">
        <v>30642996</v>
      </c>
      <c r="E84">
        <v>1</v>
      </c>
      <c r="F84">
        <v>1</v>
      </c>
      <c r="G84">
        <v>1</v>
      </c>
      <c r="H84">
        <v>3</v>
      </c>
      <c r="I84" t="s">
        <v>512</v>
      </c>
      <c r="J84" t="s">
        <v>513</v>
      </c>
      <c r="K84" t="s">
        <v>514</v>
      </c>
      <c r="L84">
        <v>1355</v>
      </c>
      <c r="N84">
        <v>1010</v>
      </c>
      <c r="O84" t="s">
        <v>206</v>
      </c>
      <c r="P84" t="s">
        <v>206</v>
      </c>
      <c r="Q84">
        <v>100</v>
      </c>
      <c r="X84">
        <v>0.7</v>
      </c>
      <c r="Y84">
        <v>371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0.7</v>
      </c>
      <c r="AH84">
        <v>2</v>
      </c>
      <c r="AI84">
        <v>45926866</v>
      </c>
      <c r="AJ84">
        <v>85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ROW(Source!A39)</f>
        <v>39</v>
      </c>
      <c r="B85">
        <v>45926887</v>
      </c>
      <c r="C85">
        <v>45926878</v>
      </c>
      <c r="D85">
        <v>13668622</v>
      </c>
      <c r="E85">
        <v>1</v>
      </c>
      <c r="F85">
        <v>1</v>
      </c>
      <c r="G85">
        <v>1</v>
      </c>
      <c r="H85">
        <v>1</v>
      </c>
      <c r="I85" t="s">
        <v>515</v>
      </c>
      <c r="K85" t="s">
        <v>516</v>
      </c>
      <c r="L85">
        <v>1369</v>
      </c>
      <c r="N85">
        <v>1013</v>
      </c>
      <c r="O85" t="s">
        <v>335</v>
      </c>
      <c r="P85" t="s">
        <v>335</v>
      </c>
      <c r="Q85">
        <v>1</v>
      </c>
      <c r="X85">
        <v>1.17</v>
      </c>
      <c r="Y85">
        <v>0</v>
      </c>
      <c r="Z85">
        <v>0</v>
      </c>
      <c r="AA85">
        <v>0</v>
      </c>
      <c r="AB85">
        <v>8.97</v>
      </c>
      <c r="AC85">
        <v>0</v>
      </c>
      <c r="AD85">
        <v>1</v>
      </c>
      <c r="AE85">
        <v>1</v>
      </c>
      <c r="AF85" t="s">
        <v>20</v>
      </c>
      <c r="AG85">
        <v>1.3455</v>
      </c>
      <c r="AH85">
        <v>2</v>
      </c>
      <c r="AI85">
        <v>45926879</v>
      </c>
      <c r="AJ85">
        <v>86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ROW(Source!A39)</f>
        <v>39</v>
      </c>
      <c r="B86">
        <v>45926888</v>
      </c>
      <c r="C86">
        <v>45926878</v>
      </c>
      <c r="D86">
        <v>30682644</v>
      </c>
      <c r="E86">
        <v>1</v>
      </c>
      <c r="F86">
        <v>1</v>
      </c>
      <c r="G86">
        <v>1</v>
      </c>
      <c r="H86">
        <v>2</v>
      </c>
      <c r="I86" t="s">
        <v>517</v>
      </c>
      <c r="J86" t="s">
        <v>518</v>
      </c>
      <c r="K86" t="s">
        <v>519</v>
      </c>
      <c r="L86">
        <v>1368</v>
      </c>
      <c r="N86">
        <v>1011</v>
      </c>
      <c r="O86" t="s">
        <v>341</v>
      </c>
      <c r="P86" t="s">
        <v>341</v>
      </c>
      <c r="Q86">
        <v>1</v>
      </c>
      <c r="X86">
        <v>0.12</v>
      </c>
      <c r="Y86">
        <v>0</v>
      </c>
      <c r="Z86">
        <v>8.1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19</v>
      </c>
      <c r="AG86">
        <v>0.15</v>
      </c>
      <c r="AH86">
        <v>2</v>
      </c>
      <c r="AI86">
        <v>45926880</v>
      </c>
      <c r="AJ86">
        <v>87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ROW(Source!A39)</f>
        <v>39</v>
      </c>
      <c r="B87">
        <v>45926889</v>
      </c>
      <c r="C87">
        <v>45926878</v>
      </c>
      <c r="D87">
        <v>30684488</v>
      </c>
      <c r="E87">
        <v>1</v>
      </c>
      <c r="F87">
        <v>1</v>
      </c>
      <c r="G87">
        <v>1</v>
      </c>
      <c r="H87">
        <v>2</v>
      </c>
      <c r="I87" t="s">
        <v>496</v>
      </c>
      <c r="J87" t="s">
        <v>497</v>
      </c>
      <c r="K87" t="s">
        <v>498</v>
      </c>
      <c r="L87">
        <v>1368</v>
      </c>
      <c r="N87">
        <v>1011</v>
      </c>
      <c r="O87" t="s">
        <v>341</v>
      </c>
      <c r="P87" t="s">
        <v>341</v>
      </c>
      <c r="Q87">
        <v>1</v>
      </c>
      <c r="X87">
        <v>0.27</v>
      </c>
      <c r="Y87">
        <v>0</v>
      </c>
      <c r="Z87">
        <v>1.95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19</v>
      </c>
      <c r="AG87">
        <v>0.3375</v>
      </c>
      <c r="AH87">
        <v>2</v>
      </c>
      <c r="AI87">
        <v>45926881</v>
      </c>
      <c r="AJ87">
        <v>88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ROW(Source!A39)</f>
        <v>39</v>
      </c>
      <c r="B88">
        <v>45926890</v>
      </c>
      <c r="C88">
        <v>45926878</v>
      </c>
      <c r="D88">
        <v>30684901</v>
      </c>
      <c r="E88">
        <v>1</v>
      </c>
      <c r="F88">
        <v>1</v>
      </c>
      <c r="G88">
        <v>1</v>
      </c>
      <c r="H88">
        <v>2</v>
      </c>
      <c r="I88" t="s">
        <v>400</v>
      </c>
      <c r="J88" t="s">
        <v>485</v>
      </c>
      <c r="K88" t="s">
        <v>402</v>
      </c>
      <c r="L88">
        <v>1368</v>
      </c>
      <c r="N88">
        <v>1011</v>
      </c>
      <c r="O88" t="s">
        <v>341</v>
      </c>
      <c r="P88" t="s">
        <v>341</v>
      </c>
      <c r="Q88">
        <v>1</v>
      </c>
      <c r="X88">
        <v>0.01</v>
      </c>
      <c r="Y88">
        <v>0</v>
      </c>
      <c r="Z88">
        <v>87.17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19</v>
      </c>
      <c r="AG88">
        <v>0.0125</v>
      </c>
      <c r="AH88">
        <v>2</v>
      </c>
      <c r="AI88">
        <v>45926882</v>
      </c>
      <c r="AJ88">
        <v>89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ROW(Source!A39)</f>
        <v>39</v>
      </c>
      <c r="B89">
        <v>45926891</v>
      </c>
      <c r="C89">
        <v>45926878</v>
      </c>
      <c r="D89">
        <v>30623973</v>
      </c>
      <c r="E89">
        <v>1</v>
      </c>
      <c r="F89">
        <v>1</v>
      </c>
      <c r="G89">
        <v>1</v>
      </c>
      <c r="H89">
        <v>3</v>
      </c>
      <c r="I89" t="s">
        <v>520</v>
      </c>
      <c r="J89" t="s">
        <v>521</v>
      </c>
      <c r="K89" t="s">
        <v>522</v>
      </c>
      <c r="L89">
        <v>1348</v>
      </c>
      <c r="N89">
        <v>1009</v>
      </c>
      <c r="O89" t="s">
        <v>406</v>
      </c>
      <c r="P89" t="s">
        <v>406</v>
      </c>
      <c r="Q89">
        <v>1000</v>
      </c>
      <c r="X89">
        <v>6E-05</v>
      </c>
      <c r="Y89">
        <v>10362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6E-05</v>
      </c>
      <c r="AH89">
        <v>2</v>
      </c>
      <c r="AI89">
        <v>45926883</v>
      </c>
      <c r="AJ89">
        <v>90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ROW(Source!A39)</f>
        <v>39</v>
      </c>
      <c r="B90">
        <v>45926892</v>
      </c>
      <c r="C90">
        <v>45926878</v>
      </c>
      <c r="D90">
        <v>30624234</v>
      </c>
      <c r="E90">
        <v>1</v>
      </c>
      <c r="F90">
        <v>1</v>
      </c>
      <c r="G90">
        <v>1</v>
      </c>
      <c r="H90">
        <v>3</v>
      </c>
      <c r="I90" t="s">
        <v>523</v>
      </c>
      <c r="J90" t="s">
        <v>524</v>
      </c>
      <c r="K90" t="s">
        <v>525</v>
      </c>
      <c r="L90">
        <v>1348</v>
      </c>
      <c r="N90">
        <v>1009</v>
      </c>
      <c r="O90" t="s">
        <v>406</v>
      </c>
      <c r="P90" t="s">
        <v>406</v>
      </c>
      <c r="Q90">
        <v>1000</v>
      </c>
      <c r="X90">
        <v>3E-05</v>
      </c>
      <c r="Y90">
        <v>9040.01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3E-05</v>
      </c>
      <c r="AH90">
        <v>2</v>
      </c>
      <c r="AI90">
        <v>45926884</v>
      </c>
      <c r="AJ90">
        <v>91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ROW(Source!A39)</f>
        <v>39</v>
      </c>
      <c r="B91">
        <v>45926893</v>
      </c>
      <c r="C91">
        <v>45926878</v>
      </c>
      <c r="D91">
        <v>30641315</v>
      </c>
      <c r="E91">
        <v>1</v>
      </c>
      <c r="F91">
        <v>1</v>
      </c>
      <c r="G91">
        <v>1</v>
      </c>
      <c r="H91">
        <v>3</v>
      </c>
      <c r="I91" t="s">
        <v>526</v>
      </c>
      <c r="J91" t="s">
        <v>527</v>
      </c>
      <c r="K91" t="s">
        <v>528</v>
      </c>
      <c r="L91">
        <v>1348</v>
      </c>
      <c r="N91">
        <v>1009</v>
      </c>
      <c r="O91" t="s">
        <v>406</v>
      </c>
      <c r="P91" t="s">
        <v>406</v>
      </c>
      <c r="Q91">
        <v>1000</v>
      </c>
      <c r="X91">
        <v>0.00043</v>
      </c>
      <c r="Y91">
        <v>6014.12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G91">
        <v>0.00043</v>
      </c>
      <c r="AH91">
        <v>2</v>
      </c>
      <c r="AI91">
        <v>45926885</v>
      </c>
      <c r="AJ91">
        <v>92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ROW(Source!A39)</f>
        <v>39</v>
      </c>
      <c r="B92">
        <v>45926894</v>
      </c>
      <c r="C92">
        <v>45926878</v>
      </c>
      <c r="D92">
        <v>30646291</v>
      </c>
      <c r="E92">
        <v>1</v>
      </c>
      <c r="F92">
        <v>1</v>
      </c>
      <c r="G92">
        <v>1</v>
      </c>
      <c r="H92">
        <v>3</v>
      </c>
      <c r="I92" t="s">
        <v>529</v>
      </c>
      <c r="J92" t="s">
        <v>530</v>
      </c>
      <c r="K92" t="s">
        <v>531</v>
      </c>
      <c r="L92">
        <v>1327</v>
      </c>
      <c r="N92">
        <v>1005</v>
      </c>
      <c r="O92" t="s">
        <v>30</v>
      </c>
      <c r="P92" t="s">
        <v>30</v>
      </c>
      <c r="Q92">
        <v>1</v>
      </c>
      <c r="X92">
        <v>0.06</v>
      </c>
      <c r="Y92">
        <v>92.8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G92">
        <v>0.06</v>
      </c>
      <c r="AH92">
        <v>2</v>
      </c>
      <c r="AI92">
        <v>45926886</v>
      </c>
      <c r="AJ92">
        <v>93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ROW(Source!A40)</f>
        <v>40</v>
      </c>
      <c r="B93">
        <v>45930240</v>
      </c>
      <c r="C93">
        <v>45930239</v>
      </c>
      <c r="D93">
        <v>13669568</v>
      </c>
      <c r="E93">
        <v>1</v>
      </c>
      <c r="F93">
        <v>1</v>
      </c>
      <c r="G93">
        <v>1</v>
      </c>
      <c r="H93">
        <v>1</v>
      </c>
      <c r="I93" t="s">
        <v>532</v>
      </c>
      <c r="K93" t="s">
        <v>533</v>
      </c>
      <c r="L93">
        <v>1369</v>
      </c>
      <c r="N93">
        <v>1013</v>
      </c>
      <c r="O93" t="s">
        <v>335</v>
      </c>
      <c r="P93" t="s">
        <v>335</v>
      </c>
      <c r="Q93">
        <v>1</v>
      </c>
      <c r="X93">
        <v>61.16</v>
      </c>
      <c r="Y93">
        <v>0</v>
      </c>
      <c r="Z93">
        <v>0</v>
      </c>
      <c r="AA93">
        <v>0</v>
      </c>
      <c r="AB93">
        <v>9.62</v>
      </c>
      <c r="AC93">
        <v>0</v>
      </c>
      <c r="AD93">
        <v>1</v>
      </c>
      <c r="AE93">
        <v>1</v>
      </c>
      <c r="AF93" t="s">
        <v>20</v>
      </c>
      <c r="AG93">
        <v>70.33399999999999</v>
      </c>
      <c r="AH93">
        <v>2</v>
      </c>
      <c r="AI93">
        <v>45930240</v>
      </c>
      <c r="AJ93">
        <v>94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ROW(Source!A40)</f>
        <v>40</v>
      </c>
      <c r="B94">
        <v>45930241</v>
      </c>
      <c r="C94">
        <v>45930239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32</v>
      </c>
      <c r="K94" t="s">
        <v>336</v>
      </c>
      <c r="L94">
        <v>608254</v>
      </c>
      <c r="N94">
        <v>1013</v>
      </c>
      <c r="O94" t="s">
        <v>337</v>
      </c>
      <c r="P94" t="s">
        <v>337</v>
      </c>
      <c r="Q94">
        <v>1</v>
      </c>
      <c r="X94">
        <v>0.61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19</v>
      </c>
      <c r="AG94">
        <v>0.7625</v>
      </c>
      <c r="AH94">
        <v>2</v>
      </c>
      <c r="AI94">
        <v>45930241</v>
      </c>
      <c r="AJ94">
        <v>95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ROW(Source!A40)</f>
        <v>40</v>
      </c>
      <c r="B95">
        <v>45930242</v>
      </c>
      <c r="C95">
        <v>45930239</v>
      </c>
      <c r="D95">
        <v>30682366</v>
      </c>
      <c r="E95">
        <v>1</v>
      </c>
      <c r="F95">
        <v>1</v>
      </c>
      <c r="G95">
        <v>1</v>
      </c>
      <c r="H95">
        <v>2</v>
      </c>
      <c r="I95" t="s">
        <v>394</v>
      </c>
      <c r="J95" t="s">
        <v>502</v>
      </c>
      <c r="K95" t="s">
        <v>396</v>
      </c>
      <c r="L95">
        <v>1368</v>
      </c>
      <c r="N95">
        <v>1011</v>
      </c>
      <c r="O95" t="s">
        <v>341</v>
      </c>
      <c r="P95" t="s">
        <v>341</v>
      </c>
      <c r="Q95">
        <v>1</v>
      </c>
      <c r="X95">
        <v>0.34</v>
      </c>
      <c r="Y95">
        <v>0</v>
      </c>
      <c r="Z95">
        <v>112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0.42500000000000004</v>
      </c>
      <c r="AH95">
        <v>2</v>
      </c>
      <c r="AI95">
        <v>45930242</v>
      </c>
      <c r="AJ95">
        <v>96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ROW(Source!A40)</f>
        <v>40</v>
      </c>
      <c r="B96">
        <v>45930243</v>
      </c>
      <c r="C96">
        <v>45930239</v>
      </c>
      <c r="D96">
        <v>30682543</v>
      </c>
      <c r="E96">
        <v>1</v>
      </c>
      <c r="F96">
        <v>1</v>
      </c>
      <c r="G96">
        <v>1</v>
      </c>
      <c r="H96">
        <v>2</v>
      </c>
      <c r="I96" t="s">
        <v>440</v>
      </c>
      <c r="J96" t="s">
        <v>441</v>
      </c>
      <c r="K96" t="s">
        <v>442</v>
      </c>
      <c r="L96">
        <v>1368</v>
      </c>
      <c r="N96">
        <v>1011</v>
      </c>
      <c r="O96" t="s">
        <v>341</v>
      </c>
      <c r="P96" t="s">
        <v>341</v>
      </c>
      <c r="Q96">
        <v>1</v>
      </c>
      <c r="X96">
        <v>0.27</v>
      </c>
      <c r="Y96">
        <v>0</v>
      </c>
      <c r="Z96">
        <v>31.26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19</v>
      </c>
      <c r="AG96">
        <v>0.3375</v>
      </c>
      <c r="AH96">
        <v>2</v>
      </c>
      <c r="AI96">
        <v>45930243</v>
      </c>
      <c r="AJ96">
        <v>97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ROW(Source!A40)</f>
        <v>40</v>
      </c>
      <c r="B97">
        <v>45930244</v>
      </c>
      <c r="C97">
        <v>45930239</v>
      </c>
      <c r="D97">
        <v>30684901</v>
      </c>
      <c r="E97">
        <v>1</v>
      </c>
      <c r="F97">
        <v>1</v>
      </c>
      <c r="G97">
        <v>1</v>
      </c>
      <c r="H97">
        <v>2</v>
      </c>
      <c r="I97" t="s">
        <v>400</v>
      </c>
      <c r="J97" t="s">
        <v>485</v>
      </c>
      <c r="K97" t="s">
        <v>402</v>
      </c>
      <c r="L97">
        <v>1368</v>
      </c>
      <c r="N97">
        <v>1011</v>
      </c>
      <c r="O97" t="s">
        <v>341</v>
      </c>
      <c r="P97" t="s">
        <v>341</v>
      </c>
      <c r="Q97">
        <v>1</v>
      </c>
      <c r="X97">
        <v>0.44</v>
      </c>
      <c r="Y97">
        <v>0</v>
      </c>
      <c r="Z97">
        <v>87.17</v>
      </c>
      <c r="AA97">
        <v>11.6</v>
      </c>
      <c r="AB97">
        <v>0</v>
      </c>
      <c r="AC97">
        <v>0</v>
      </c>
      <c r="AD97">
        <v>1</v>
      </c>
      <c r="AE97">
        <v>0</v>
      </c>
      <c r="AF97" t="s">
        <v>19</v>
      </c>
      <c r="AG97">
        <v>0.55</v>
      </c>
      <c r="AH97">
        <v>2</v>
      </c>
      <c r="AI97">
        <v>45930244</v>
      </c>
      <c r="AJ97">
        <v>98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ROW(Source!A40)</f>
        <v>40</v>
      </c>
      <c r="B98">
        <v>45930245</v>
      </c>
      <c r="C98">
        <v>45930239</v>
      </c>
      <c r="D98">
        <v>30617873</v>
      </c>
      <c r="E98">
        <v>1</v>
      </c>
      <c r="F98">
        <v>1</v>
      </c>
      <c r="G98">
        <v>1</v>
      </c>
      <c r="H98">
        <v>3</v>
      </c>
      <c r="I98" t="s">
        <v>534</v>
      </c>
      <c r="J98" t="s">
        <v>535</v>
      </c>
      <c r="K98" t="s">
        <v>536</v>
      </c>
      <c r="L98">
        <v>1348</v>
      </c>
      <c r="N98">
        <v>1009</v>
      </c>
      <c r="O98" t="s">
        <v>406</v>
      </c>
      <c r="P98" t="s">
        <v>406</v>
      </c>
      <c r="Q98">
        <v>1000</v>
      </c>
      <c r="X98">
        <v>0.0007</v>
      </c>
      <c r="Y98">
        <v>30029.99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0.0007</v>
      </c>
      <c r="AH98">
        <v>2</v>
      </c>
      <c r="AI98">
        <v>45930245</v>
      </c>
      <c r="AJ98">
        <v>99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ROW(Source!A40)</f>
        <v>40</v>
      </c>
      <c r="B99">
        <v>45930246</v>
      </c>
      <c r="C99">
        <v>45930239</v>
      </c>
      <c r="D99">
        <v>30620385</v>
      </c>
      <c r="E99">
        <v>1</v>
      </c>
      <c r="F99">
        <v>1</v>
      </c>
      <c r="G99">
        <v>1</v>
      </c>
      <c r="H99">
        <v>3</v>
      </c>
      <c r="I99" t="s">
        <v>537</v>
      </c>
      <c r="J99" t="s">
        <v>538</v>
      </c>
      <c r="K99" t="s">
        <v>539</v>
      </c>
      <c r="L99">
        <v>1348</v>
      </c>
      <c r="N99">
        <v>1009</v>
      </c>
      <c r="O99" t="s">
        <v>406</v>
      </c>
      <c r="P99" t="s">
        <v>406</v>
      </c>
      <c r="Q99">
        <v>1000</v>
      </c>
      <c r="X99">
        <v>0.0014</v>
      </c>
      <c r="Y99">
        <v>15118.99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0.0014</v>
      </c>
      <c r="AH99">
        <v>2</v>
      </c>
      <c r="AI99">
        <v>45930246</v>
      </c>
      <c r="AJ99">
        <v>100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ROW(Source!A40)</f>
        <v>40</v>
      </c>
      <c r="B100">
        <v>45930247</v>
      </c>
      <c r="C100">
        <v>45930239</v>
      </c>
      <c r="D100">
        <v>30620560</v>
      </c>
      <c r="E100">
        <v>1</v>
      </c>
      <c r="F100">
        <v>1</v>
      </c>
      <c r="G100">
        <v>1</v>
      </c>
      <c r="H100">
        <v>3</v>
      </c>
      <c r="I100" t="s">
        <v>540</v>
      </c>
      <c r="J100" t="s">
        <v>541</v>
      </c>
      <c r="K100" t="s">
        <v>542</v>
      </c>
      <c r="L100">
        <v>1348</v>
      </c>
      <c r="N100">
        <v>1009</v>
      </c>
      <c r="O100" t="s">
        <v>406</v>
      </c>
      <c r="P100" t="s">
        <v>406</v>
      </c>
      <c r="Q100">
        <v>1000</v>
      </c>
      <c r="X100">
        <v>0.0007</v>
      </c>
      <c r="Y100">
        <v>16950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0.0007</v>
      </c>
      <c r="AH100">
        <v>2</v>
      </c>
      <c r="AI100">
        <v>45930247</v>
      </c>
      <c r="AJ100">
        <v>101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ROW(Source!A40)</f>
        <v>40</v>
      </c>
      <c r="B101">
        <v>45930248</v>
      </c>
      <c r="C101">
        <v>45930239</v>
      </c>
      <c r="D101">
        <v>30619239</v>
      </c>
      <c r="E101">
        <v>1</v>
      </c>
      <c r="F101">
        <v>1</v>
      </c>
      <c r="G101">
        <v>1</v>
      </c>
      <c r="H101">
        <v>3</v>
      </c>
      <c r="I101" t="s">
        <v>543</v>
      </c>
      <c r="J101" t="s">
        <v>544</v>
      </c>
      <c r="K101" t="s">
        <v>545</v>
      </c>
      <c r="L101">
        <v>1348</v>
      </c>
      <c r="N101">
        <v>1009</v>
      </c>
      <c r="O101" t="s">
        <v>406</v>
      </c>
      <c r="P101" t="s">
        <v>406</v>
      </c>
      <c r="Q101">
        <v>1000</v>
      </c>
      <c r="X101">
        <v>0.002</v>
      </c>
      <c r="Y101">
        <v>1836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0.002</v>
      </c>
      <c r="AH101">
        <v>2</v>
      </c>
      <c r="AI101">
        <v>45930248</v>
      </c>
      <c r="AJ101">
        <v>102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ROW(Source!A40)</f>
        <v>40</v>
      </c>
      <c r="B102">
        <v>45930249</v>
      </c>
      <c r="C102">
        <v>45930239</v>
      </c>
      <c r="D102">
        <v>30617950</v>
      </c>
      <c r="E102">
        <v>1</v>
      </c>
      <c r="F102">
        <v>1</v>
      </c>
      <c r="G102">
        <v>1</v>
      </c>
      <c r="H102">
        <v>3</v>
      </c>
      <c r="I102" t="s">
        <v>546</v>
      </c>
      <c r="J102" t="s">
        <v>547</v>
      </c>
      <c r="K102" t="s">
        <v>548</v>
      </c>
      <c r="L102">
        <v>1346</v>
      </c>
      <c r="N102">
        <v>1009</v>
      </c>
      <c r="O102" t="s">
        <v>351</v>
      </c>
      <c r="P102" t="s">
        <v>351</v>
      </c>
      <c r="Q102">
        <v>1</v>
      </c>
      <c r="X102">
        <v>0.6</v>
      </c>
      <c r="Y102">
        <v>37.29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0.6</v>
      </c>
      <c r="AH102">
        <v>2</v>
      </c>
      <c r="AI102">
        <v>45930249</v>
      </c>
      <c r="AJ102">
        <v>103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ROW(Source!A40)</f>
        <v>40</v>
      </c>
      <c r="B103">
        <v>45930250</v>
      </c>
      <c r="C103">
        <v>45930239</v>
      </c>
      <c r="D103">
        <v>30624225</v>
      </c>
      <c r="E103">
        <v>1</v>
      </c>
      <c r="F103">
        <v>1</v>
      </c>
      <c r="G103">
        <v>1</v>
      </c>
      <c r="H103">
        <v>3</v>
      </c>
      <c r="I103" t="s">
        <v>549</v>
      </c>
      <c r="J103" t="s">
        <v>550</v>
      </c>
      <c r="K103" t="s">
        <v>551</v>
      </c>
      <c r="L103">
        <v>1348</v>
      </c>
      <c r="N103">
        <v>1009</v>
      </c>
      <c r="O103" t="s">
        <v>406</v>
      </c>
      <c r="P103" t="s">
        <v>406</v>
      </c>
      <c r="Q103">
        <v>1000</v>
      </c>
      <c r="X103">
        <v>0.0001</v>
      </c>
      <c r="Y103">
        <v>15130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0.0001</v>
      </c>
      <c r="AH103">
        <v>2</v>
      </c>
      <c r="AI103">
        <v>45930250</v>
      </c>
      <c r="AJ103">
        <v>104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ROW(Source!A40)</f>
        <v>40</v>
      </c>
      <c r="B104">
        <v>45930251</v>
      </c>
      <c r="C104">
        <v>45930239</v>
      </c>
      <c r="D104">
        <v>30652072</v>
      </c>
      <c r="E104">
        <v>1</v>
      </c>
      <c r="F104">
        <v>1</v>
      </c>
      <c r="G104">
        <v>1</v>
      </c>
      <c r="H104">
        <v>3</v>
      </c>
      <c r="I104" t="s">
        <v>111</v>
      </c>
      <c r="J104" t="s">
        <v>113</v>
      </c>
      <c r="K104" t="s">
        <v>112</v>
      </c>
      <c r="L104">
        <v>1035</v>
      </c>
      <c r="N104">
        <v>1013</v>
      </c>
      <c r="O104" t="s">
        <v>44</v>
      </c>
      <c r="P104" t="s">
        <v>44</v>
      </c>
      <c r="Q104">
        <v>1</v>
      </c>
      <c r="X104">
        <v>10</v>
      </c>
      <c r="Y104">
        <v>5649.99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10</v>
      </c>
      <c r="AH104">
        <v>2</v>
      </c>
      <c r="AI104">
        <v>45930251</v>
      </c>
      <c r="AJ104">
        <v>105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ROW(Source!A43)</f>
        <v>43</v>
      </c>
      <c r="B105">
        <v>45926937</v>
      </c>
      <c r="C105">
        <v>45926920</v>
      </c>
      <c r="D105">
        <v>13668731</v>
      </c>
      <c r="E105">
        <v>1</v>
      </c>
      <c r="F105">
        <v>1</v>
      </c>
      <c r="G105">
        <v>1</v>
      </c>
      <c r="H105">
        <v>1</v>
      </c>
      <c r="I105" t="s">
        <v>552</v>
      </c>
      <c r="K105" t="s">
        <v>553</v>
      </c>
      <c r="L105">
        <v>1369</v>
      </c>
      <c r="N105">
        <v>1013</v>
      </c>
      <c r="O105" t="s">
        <v>335</v>
      </c>
      <c r="P105" t="s">
        <v>335</v>
      </c>
      <c r="Q105">
        <v>1</v>
      </c>
      <c r="X105">
        <v>24.64</v>
      </c>
      <c r="Y105">
        <v>0</v>
      </c>
      <c r="Z105">
        <v>0</v>
      </c>
      <c r="AA105">
        <v>0</v>
      </c>
      <c r="AB105">
        <v>9.51</v>
      </c>
      <c r="AC105">
        <v>0</v>
      </c>
      <c r="AD105">
        <v>1</v>
      </c>
      <c r="AE105">
        <v>1</v>
      </c>
      <c r="AF105" t="s">
        <v>20</v>
      </c>
      <c r="AG105">
        <v>28.336</v>
      </c>
      <c r="AH105">
        <v>2</v>
      </c>
      <c r="AI105">
        <v>45926921</v>
      </c>
      <c r="AJ105">
        <v>107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ROW(Source!A43)</f>
        <v>43</v>
      </c>
      <c r="B106">
        <v>45926938</v>
      </c>
      <c r="C106">
        <v>45926920</v>
      </c>
      <c r="D106">
        <v>121548</v>
      </c>
      <c r="E106">
        <v>1</v>
      </c>
      <c r="F106">
        <v>1</v>
      </c>
      <c r="G106">
        <v>1</v>
      </c>
      <c r="H106">
        <v>1</v>
      </c>
      <c r="I106" t="s">
        <v>32</v>
      </c>
      <c r="K106" t="s">
        <v>336</v>
      </c>
      <c r="L106">
        <v>608254</v>
      </c>
      <c r="N106">
        <v>1013</v>
      </c>
      <c r="O106" t="s">
        <v>337</v>
      </c>
      <c r="P106" t="s">
        <v>337</v>
      </c>
      <c r="Q106">
        <v>1</v>
      </c>
      <c r="X106">
        <v>0.32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19</v>
      </c>
      <c r="AG106">
        <v>0.4</v>
      </c>
      <c r="AH106">
        <v>2</v>
      </c>
      <c r="AI106">
        <v>45926922</v>
      </c>
      <c r="AJ106">
        <v>108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ROW(Source!A43)</f>
        <v>43</v>
      </c>
      <c r="B107">
        <v>45926939</v>
      </c>
      <c r="C107">
        <v>45926920</v>
      </c>
      <c r="D107">
        <v>30682543</v>
      </c>
      <c r="E107">
        <v>1</v>
      </c>
      <c r="F107">
        <v>1</v>
      </c>
      <c r="G107">
        <v>1</v>
      </c>
      <c r="H107">
        <v>2</v>
      </c>
      <c r="I107" t="s">
        <v>440</v>
      </c>
      <c r="J107" t="s">
        <v>441</v>
      </c>
      <c r="K107" t="s">
        <v>442</v>
      </c>
      <c r="L107">
        <v>1368</v>
      </c>
      <c r="N107">
        <v>1011</v>
      </c>
      <c r="O107" t="s">
        <v>341</v>
      </c>
      <c r="P107" t="s">
        <v>341</v>
      </c>
      <c r="Q107">
        <v>1</v>
      </c>
      <c r="X107">
        <v>0.32</v>
      </c>
      <c r="Y107">
        <v>0</v>
      </c>
      <c r="Z107">
        <v>31.26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19</v>
      </c>
      <c r="AG107">
        <v>0.4</v>
      </c>
      <c r="AH107">
        <v>2</v>
      </c>
      <c r="AI107">
        <v>45926923</v>
      </c>
      <c r="AJ107">
        <v>109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ROW(Source!A43)</f>
        <v>43</v>
      </c>
      <c r="B108">
        <v>45926940</v>
      </c>
      <c r="C108">
        <v>45926920</v>
      </c>
      <c r="D108">
        <v>30684488</v>
      </c>
      <c r="E108">
        <v>1</v>
      </c>
      <c r="F108">
        <v>1</v>
      </c>
      <c r="G108">
        <v>1</v>
      </c>
      <c r="H108">
        <v>2</v>
      </c>
      <c r="I108" t="s">
        <v>496</v>
      </c>
      <c r="J108" t="s">
        <v>497</v>
      </c>
      <c r="K108" t="s">
        <v>498</v>
      </c>
      <c r="L108">
        <v>1368</v>
      </c>
      <c r="N108">
        <v>1011</v>
      </c>
      <c r="O108" t="s">
        <v>341</v>
      </c>
      <c r="P108" t="s">
        <v>341</v>
      </c>
      <c r="Q108">
        <v>1</v>
      </c>
      <c r="X108">
        <v>0.2</v>
      </c>
      <c r="Y108">
        <v>0</v>
      </c>
      <c r="Z108">
        <v>1.95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19</v>
      </c>
      <c r="AG108">
        <v>0.25</v>
      </c>
      <c r="AH108">
        <v>2</v>
      </c>
      <c r="AI108">
        <v>45926924</v>
      </c>
      <c r="AJ108">
        <v>110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ROW(Source!A43)</f>
        <v>43</v>
      </c>
      <c r="B109">
        <v>45926941</v>
      </c>
      <c r="C109">
        <v>45926920</v>
      </c>
      <c r="D109">
        <v>30684901</v>
      </c>
      <c r="E109">
        <v>1</v>
      </c>
      <c r="F109">
        <v>1</v>
      </c>
      <c r="G109">
        <v>1</v>
      </c>
      <c r="H109">
        <v>2</v>
      </c>
      <c r="I109" t="s">
        <v>400</v>
      </c>
      <c r="J109" t="s">
        <v>485</v>
      </c>
      <c r="K109" t="s">
        <v>402</v>
      </c>
      <c r="L109">
        <v>1368</v>
      </c>
      <c r="N109">
        <v>1011</v>
      </c>
      <c r="O109" t="s">
        <v>341</v>
      </c>
      <c r="P109" t="s">
        <v>341</v>
      </c>
      <c r="Q109">
        <v>1</v>
      </c>
      <c r="X109">
        <v>0.39</v>
      </c>
      <c r="Y109">
        <v>0</v>
      </c>
      <c r="Z109">
        <v>87.17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19</v>
      </c>
      <c r="AG109">
        <v>0.48750000000000004</v>
      </c>
      <c r="AH109">
        <v>2</v>
      </c>
      <c r="AI109">
        <v>45926925</v>
      </c>
      <c r="AJ109">
        <v>111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ROW(Source!A43)</f>
        <v>43</v>
      </c>
      <c r="B110">
        <v>45926942</v>
      </c>
      <c r="C110">
        <v>45926920</v>
      </c>
      <c r="D110">
        <v>30617873</v>
      </c>
      <c r="E110">
        <v>1</v>
      </c>
      <c r="F110">
        <v>1</v>
      </c>
      <c r="G110">
        <v>1</v>
      </c>
      <c r="H110">
        <v>3</v>
      </c>
      <c r="I110" t="s">
        <v>534</v>
      </c>
      <c r="J110" t="s">
        <v>535</v>
      </c>
      <c r="K110" t="s">
        <v>536</v>
      </c>
      <c r="L110">
        <v>1348</v>
      </c>
      <c r="N110">
        <v>1009</v>
      </c>
      <c r="O110" t="s">
        <v>406</v>
      </c>
      <c r="P110" t="s">
        <v>406</v>
      </c>
      <c r="Q110">
        <v>1000</v>
      </c>
      <c r="X110">
        <v>0.001</v>
      </c>
      <c r="Y110">
        <v>30029.99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0.001</v>
      </c>
      <c r="AH110">
        <v>2</v>
      </c>
      <c r="AI110">
        <v>45926926</v>
      </c>
      <c r="AJ110">
        <v>112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ROW(Source!A43)</f>
        <v>43</v>
      </c>
      <c r="B111">
        <v>45926943</v>
      </c>
      <c r="C111">
        <v>45926920</v>
      </c>
      <c r="D111">
        <v>30620385</v>
      </c>
      <c r="E111">
        <v>1</v>
      </c>
      <c r="F111">
        <v>1</v>
      </c>
      <c r="G111">
        <v>1</v>
      </c>
      <c r="H111">
        <v>3</v>
      </c>
      <c r="I111" t="s">
        <v>537</v>
      </c>
      <c r="J111" t="s">
        <v>538</v>
      </c>
      <c r="K111" t="s">
        <v>539</v>
      </c>
      <c r="L111">
        <v>1348</v>
      </c>
      <c r="N111">
        <v>1009</v>
      </c>
      <c r="O111" t="s">
        <v>406</v>
      </c>
      <c r="P111" t="s">
        <v>406</v>
      </c>
      <c r="Q111">
        <v>1000</v>
      </c>
      <c r="X111">
        <v>0.0004</v>
      </c>
      <c r="Y111">
        <v>15118.99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0.0004</v>
      </c>
      <c r="AH111">
        <v>2</v>
      </c>
      <c r="AI111">
        <v>45926927</v>
      </c>
      <c r="AJ111">
        <v>113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ROW(Source!A43)</f>
        <v>43</v>
      </c>
      <c r="B112">
        <v>45926944</v>
      </c>
      <c r="C112">
        <v>45926920</v>
      </c>
      <c r="D112">
        <v>30620560</v>
      </c>
      <c r="E112">
        <v>1</v>
      </c>
      <c r="F112">
        <v>1</v>
      </c>
      <c r="G112">
        <v>1</v>
      </c>
      <c r="H112">
        <v>3</v>
      </c>
      <c r="I112" t="s">
        <v>540</v>
      </c>
      <c r="J112" t="s">
        <v>541</v>
      </c>
      <c r="K112" t="s">
        <v>542</v>
      </c>
      <c r="L112">
        <v>1348</v>
      </c>
      <c r="N112">
        <v>1009</v>
      </c>
      <c r="O112" t="s">
        <v>406</v>
      </c>
      <c r="P112" t="s">
        <v>406</v>
      </c>
      <c r="Q112">
        <v>1000</v>
      </c>
      <c r="X112">
        <v>0.0002</v>
      </c>
      <c r="Y112">
        <v>16950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G112">
        <v>0.0002</v>
      </c>
      <c r="AH112">
        <v>2</v>
      </c>
      <c r="AI112">
        <v>45926928</v>
      </c>
      <c r="AJ112">
        <v>114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ROW(Source!A43)</f>
        <v>43</v>
      </c>
      <c r="B113">
        <v>45926945</v>
      </c>
      <c r="C113">
        <v>45926920</v>
      </c>
      <c r="D113">
        <v>30620135</v>
      </c>
      <c r="E113">
        <v>1</v>
      </c>
      <c r="F113">
        <v>1</v>
      </c>
      <c r="G113">
        <v>1</v>
      </c>
      <c r="H113">
        <v>3</v>
      </c>
      <c r="I113" t="s">
        <v>554</v>
      </c>
      <c r="J113" t="s">
        <v>555</v>
      </c>
      <c r="K113" t="s">
        <v>556</v>
      </c>
      <c r="L113">
        <v>1346</v>
      </c>
      <c r="N113">
        <v>1009</v>
      </c>
      <c r="O113" t="s">
        <v>351</v>
      </c>
      <c r="P113" t="s">
        <v>351</v>
      </c>
      <c r="Q113">
        <v>1</v>
      </c>
      <c r="X113">
        <v>0.8</v>
      </c>
      <c r="Y113">
        <v>13.55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0.8</v>
      </c>
      <c r="AH113">
        <v>2</v>
      </c>
      <c r="AI113">
        <v>45926929</v>
      </c>
      <c r="AJ113">
        <v>115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ROW(Source!A43)</f>
        <v>43</v>
      </c>
      <c r="B114">
        <v>45926946</v>
      </c>
      <c r="C114">
        <v>45926920</v>
      </c>
      <c r="D114">
        <v>30617950</v>
      </c>
      <c r="E114">
        <v>1</v>
      </c>
      <c r="F114">
        <v>1</v>
      </c>
      <c r="G114">
        <v>1</v>
      </c>
      <c r="H114">
        <v>3</v>
      </c>
      <c r="I114" t="s">
        <v>546</v>
      </c>
      <c r="J114" t="s">
        <v>547</v>
      </c>
      <c r="K114" t="s">
        <v>548</v>
      </c>
      <c r="L114">
        <v>1346</v>
      </c>
      <c r="N114">
        <v>1009</v>
      </c>
      <c r="O114" t="s">
        <v>351</v>
      </c>
      <c r="P114" t="s">
        <v>351</v>
      </c>
      <c r="Q114">
        <v>1</v>
      </c>
      <c r="X114">
        <v>0.04</v>
      </c>
      <c r="Y114">
        <v>37.29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0.04</v>
      </c>
      <c r="AH114">
        <v>2</v>
      </c>
      <c r="AI114">
        <v>45926930</v>
      </c>
      <c r="AJ114">
        <v>116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ROW(Source!A43)</f>
        <v>43</v>
      </c>
      <c r="B115">
        <v>45926947</v>
      </c>
      <c r="C115">
        <v>45926920</v>
      </c>
      <c r="D115">
        <v>30617834</v>
      </c>
      <c r="E115">
        <v>1</v>
      </c>
      <c r="F115">
        <v>1</v>
      </c>
      <c r="G115">
        <v>1</v>
      </c>
      <c r="H115">
        <v>3</v>
      </c>
      <c r="I115" t="s">
        <v>557</v>
      </c>
      <c r="J115" t="s">
        <v>558</v>
      </c>
      <c r="K115" t="s">
        <v>559</v>
      </c>
      <c r="L115">
        <v>1346</v>
      </c>
      <c r="N115">
        <v>1009</v>
      </c>
      <c r="O115" t="s">
        <v>351</v>
      </c>
      <c r="P115" t="s">
        <v>351</v>
      </c>
      <c r="Q115">
        <v>1</v>
      </c>
      <c r="X115">
        <v>4</v>
      </c>
      <c r="Y115">
        <v>9.61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4</v>
      </c>
      <c r="AH115">
        <v>2</v>
      </c>
      <c r="AI115">
        <v>45926931</v>
      </c>
      <c r="AJ115">
        <v>117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ROW(Source!A43)</f>
        <v>43</v>
      </c>
      <c r="B116">
        <v>45926948</v>
      </c>
      <c r="C116">
        <v>45926920</v>
      </c>
      <c r="D116">
        <v>30624681</v>
      </c>
      <c r="E116">
        <v>1</v>
      </c>
      <c r="F116">
        <v>1</v>
      </c>
      <c r="G116">
        <v>1</v>
      </c>
      <c r="H116">
        <v>3</v>
      </c>
      <c r="I116" t="s">
        <v>560</v>
      </c>
      <c r="J116" t="s">
        <v>561</v>
      </c>
      <c r="K116" t="s">
        <v>562</v>
      </c>
      <c r="L116">
        <v>1348</v>
      </c>
      <c r="N116">
        <v>1009</v>
      </c>
      <c r="O116" t="s">
        <v>406</v>
      </c>
      <c r="P116" t="s">
        <v>406</v>
      </c>
      <c r="Q116">
        <v>1000</v>
      </c>
      <c r="X116">
        <v>0.0005</v>
      </c>
      <c r="Y116">
        <v>12429.99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0.0005</v>
      </c>
      <c r="AH116">
        <v>2</v>
      </c>
      <c r="AI116">
        <v>45926932</v>
      </c>
      <c r="AJ116">
        <v>118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ROW(Source!A43)</f>
        <v>43</v>
      </c>
      <c r="B117">
        <v>45926949</v>
      </c>
      <c r="C117">
        <v>45926920</v>
      </c>
      <c r="D117">
        <v>30624460</v>
      </c>
      <c r="E117">
        <v>1</v>
      </c>
      <c r="F117">
        <v>1</v>
      </c>
      <c r="G117">
        <v>1</v>
      </c>
      <c r="H117">
        <v>3</v>
      </c>
      <c r="I117" t="s">
        <v>563</v>
      </c>
      <c r="J117" t="s">
        <v>564</v>
      </c>
      <c r="K117" t="s">
        <v>565</v>
      </c>
      <c r="L117">
        <v>1356</v>
      </c>
      <c r="N117">
        <v>1010</v>
      </c>
      <c r="O117" t="s">
        <v>566</v>
      </c>
      <c r="P117" t="s">
        <v>566</v>
      </c>
      <c r="Q117">
        <v>1000</v>
      </c>
      <c r="X117">
        <v>0.04</v>
      </c>
      <c r="Y117">
        <v>179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0.04</v>
      </c>
      <c r="AH117">
        <v>2</v>
      </c>
      <c r="AI117">
        <v>45926933</v>
      </c>
      <c r="AJ117">
        <v>119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ROW(Source!A43)</f>
        <v>43</v>
      </c>
      <c r="B118">
        <v>45926950</v>
      </c>
      <c r="C118">
        <v>45926920</v>
      </c>
      <c r="D118">
        <v>30632313</v>
      </c>
      <c r="E118">
        <v>1</v>
      </c>
      <c r="F118">
        <v>1</v>
      </c>
      <c r="G118">
        <v>1</v>
      </c>
      <c r="H118">
        <v>3</v>
      </c>
      <c r="I118" t="s">
        <v>567</v>
      </c>
      <c r="J118" t="s">
        <v>568</v>
      </c>
      <c r="K118" t="s">
        <v>569</v>
      </c>
      <c r="L118">
        <v>1348</v>
      </c>
      <c r="N118">
        <v>1009</v>
      </c>
      <c r="O118" t="s">
        <v>406</v>
      </c>
      <c r="P118" t="s">
        <v>406</v>
      </c>
      <c r="Q118">
        <v>1000</v>
      </c>
      <c r="X118">
        <v>0.0008</v>
      </c>
      <c r="Y118">
        <v>12329.98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0.0008</v>
      </c>
      <c r="AH118">
        <v>2</v>
      </c>
      <c r="AI118">
        <v>45926934</v>
      </c>
      <c r="AJ118">
        <v>120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ROW(Source!A43)</f>
        <v>43</v>
      </c>
      <c r="B119">
        <v>45926951</v>
      </c>
      <c r="C119">
        <v>45926920</v>
      </c>
      <c r="D119">
        <v>30652031</v>
      </c>
      <c r="E119">
        <v>1</v>
      </c>
      <c r="F119">
        <v>1</v>
      </c>
      <c r="G119">
        <v>1</v>
      </c>
      <c r="H119">
        <v>3</v>
      </c>
      <c r="I119" t="s">
        <v>570</v>
      </c>
      <c r="J119" t="s">
        <v>571</v>
      </c>
      <c r="K119" t="s">
        <v>572</v>
      </c>
      <c r="L119">
        <v>1035</v>
      </c>
      <c r="N119">
        <v>1013</v>
      </c>
      <c r="O119" t="s">
        <v>44</v>
      </c>
      <c r="P119" t="s">
        <v>44</v>
      </c>
      <c r="Q119">
        <v>1</v>
      </c>
      <c r="X119">
        <v>10</v>
      </c>
      <c r="Y119">
        <v>318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10</v>
      </c>
      <c r="AH119">
        <v>2</v>
      </c>
      <c r="AI119">
        <v>45926935</v>
      </c>
      <c r="AJ119">
        <v>121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ROW(Source!A43)</f>
        <v>43</v>
      </c>
      <c r="B120">
        <v>45926952</v>
      </c>
      <c r="C120">
        <v>45926920</v>
      </c>
      <c r="D120">
        <v>30676023</v>
      </c>
      <c r="E120">
        <v>1</v>
      </c>
      <c r="F120">
        <v>1</v>
      </c>
      <c r="G120">
        <v>1</v>
      </c>
      <c r="H120">
        <v>3</v>
      </c>
      <c r="I120" t="s">
        <v>573</v>
      </c>
      <c r="J120" t="s">
        <v>574</v>
      </c>
      <c r="K120" t="s">
        <v>575</v>
      </c>
      <c r="L120">
        <v>1346</v>
      </c>
      <c r="N120">
        <v>1009</v>
      </c>
      <c r="O120" t="s">
        <v>351</v>
      </c>
      <c r="P120" t="s">
        <v>351</v>
      </c>
      <c r="Q120">
        <v>1</v>
      </c>
      <c r="X120">
        <v>20</v>
      </c>
      <c r="Y120">
        <v>6.79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20</v>
      </c>
      <c r="AH120">
        <v>2</v>
      </c>
      <c r="AI120">
        <v>45926936</v>
      </c>
      <c r="AJ120">
        <v>122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ROW(Source!A44)</f>
        <v>44</v>
      </c>
      <c r="B121">
        <v>45930135</v>
      </c>
      <c r="C121">
        <v>45930119</v>
      </c>
      <c r="D121">
        <v>13669568</v>
      </c>
      <c r="E121">
        <v>1</v>
      </c>
      <c r="F121">
        <v>1</v>
      </c>
      <c r="G121">
        <v>1</v>
      </c>
      <c r="H121">
        <v>1</v>
      </c>
      <c r="I121" t="s">
        <v>532</v>
      </c>
      <c r="K121" t="s">
        <v>533</v>
      </c>
      <c r="L121">
        <v>1369</v>
      </c>
      <c r="N121">
        <v>1013</v>
      </c>
      <c r="O121" t="s">
        <v>335</v>
      </c>
      <c r="P121" t="s">
        <v>335</v>
      </c>
      <c r="Q121">
        <v>1</v>
      </c>
      <c r="X121">
        <v>21.65</v>
      </c>
      <c r="Y121">
        <v>0</v>
      </c>
      <c r="Z121">
        <v>0</v>
      </c>
      <c r="AA121">
        <v>0</v>
      </c>
      <c r="AB121">
        <v>9.62</v>
      </c>
      <c r="AC121">
        <v>0</v>
      </c>
      <c r="AD121">
        <v>1</v>
      </c>
      <c r="AE121">
        <v>1</v>
      </c>
      <c r="AF121" t="s">
        <v>20</v>
      </c>
      <c r="AG121">
        <v>24.897499999999997</v>
      </c>
      <c r="AH121">
        <v>2</v>
      </c>
      <c r="AI121">
        <v>45930120</v>
      </c>
      <c r="AJ121">
        <v>123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ROW(Source!A44)</f>
        <v>44</v>
      </c>
      <c r="B122">
        <v>45930136</v>
      </c>
      <c r="C122">
        <v>45930119</v>
      </c>
      <c r="D122">
        <v>121548</v>
      </c>
      <c r="E122">
        <v>1</v>
      </c>
      <c r="F122">
        <v>1</v>
      </c>
      <c r="G122">
        <v>1</v>
      </c>
      <c r="H122">
        <v>1</v>
      </c>
      <c r="I122" t="s">
        <v>32</v>
      </c>
      <c r="K122" t="s">
        <v>336</v>
      </c>
      <c r="L122">
        <v>608254</v>
      </c>
      <c r="N122">
        <v>1013</v>
      </c>
      <c r="O122" t="s">
        <v>337</v>
      </c>
      <c r="P122" t="s">
        <v>337</v>
      </c>
      <c r="Q122">
        <v>1</v>
      </c>
      <c r="X122">
        <v>0.13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2</v>
      </c>
      <c r="AF122" t="s">
        <v>19</v>
      </c>
      <c r="AG122">
        <v>0.1625</v>
      </c>
      <c r="AH122">
        <v>2</v>
      </c>
      <c r="AI122">
        <v>45930121</v>
      </c>
      <c r="AJ122">
        <v>124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ROW(Source!A44)</f>
        <v>44</v>
      </c>
      <c r="B123">
        <v>45930137</v>
      </c>
      <c r="C123">
        <v>45930119</v>
      </c>
      <c r="D123">
        <v>13614407</v>
      </c>
      <c r="E123">
        <v>1</v>
      </c>
      <c r="F123">
        <v>1</v>
      </c>
      <c r="G123">
        <v>1</v>
      </c>
      <c r="H123">
        <v>2</v>
      </c>
      <c r="I123" t="s">
        <v>440</v>
      </c>
      <c r="J123" t="s">
        <v>576</v>
      </c>
      <c r="K123" t="s">
        <v>442</v>
      </c>
      <c r="L123">
        <v>1368</v>
      </c>
      <c r="N123">
        <v>1011</v>
      </c>
      <c r="O123" t="s">
        <v>341</v>
      </c>
      <c r="P123" t="s">
        <v>341</v>
      </c>
      <c r="Q123">
        <v>1</v>
      </c>
      <c r="X123">
        <v>0.13</v>
      </c>
      <c r="Y123">
        <v>0</v>
      </c>
      <c r="Z123">
        <v>31.26</v>
      </c>
      <c r="AA123">
        <v>11.6</v>
      </c>
      <c r="AB123">
        <v>0</v>
      </c>
      <c r="AC123">
        <v>0</v>
      </c>
      <c r="AD123">
        <v>1</v>
      </c>
      <c r="AE123">
        <v>0</v>
      </c>
      <c r="AF123" t="s">
        <v>19</v>
      </c>
      <c r="AG123">
        <v>0.1625</v>
      </c>
      <c r="AH123">
        <v>2</v>
      </c>
      <c r="AI123">
        <v>45930122</v>
      </c>
      <c r="AJ123">
        <v>125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ROW(Source!A44)</f>
        <v>44</v>
      </c>
      <c r="B124">
        <v>45930138</v>
      </c>
      <c r="C124">
        <v>45930119</v>
      </c>
      <c r="D124">
        <v>13615709</v>
      </c>
      <c r="E124">
        <v>1</v>
      </c>
      <c r="F124">
        <v>1</v>
      </c>
      <c r="G124">
        <v>1</v>
      </c>
      <c r="H124">
        <v>2</v>
      </c>
      <c r="I124" t="s">
        <v>496</v>
      </c>
      <c r="J124" t="s">
        <v>577</v>
      </c>
      <c r="K124" t="s">
        <v>498</v>
      </c>
      <c r="L124">
        <v>1368</v>
      </c>
      <c r="N124">
        <v>1011</v>
      </c>
      <c r="O124" t="s">
        <v>341</v>
      </c>
      <c r="P124" t="s">
        <v>341</v>
      </c>
      <c r="Q124">
        <v>1</v>
      </c>
      <c r="X124">
        <v>0.2</v>
      </c>
      <c r="Y124">
        <v>0</v>
      </c>
      <c r="Z124">
        <v>1.95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19</v>
      </c>
      <c r="AG124">
        <v>0.25</v>
      </c>
      <c r="AH124">
        <v>2</v>
      </c>
      <c r="AI124">
        <v>45930123</v>
      </c>
      <c r="AJ124">
        <v>126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ROW(Source!A44)</f>
        <v>44</v>
      </c>
      <c r="B125">
        <v>45930139</v>
      </c>
      <c r="C125">
        <v>45930119</v>
      </c>
      <c r="D125">
        <v>13616013</v>
      </c>
      <c r="E125">
        <v>1</v>
      </c>
      <c r="F125">
        <v>1</v>
      </c>
      <c r="G125">
        <v>1</v>
      </c>
      <c r="H125">
        <v>2</v>
      </c>
      <c r="I125" t="s">
        <v>400</v>
      </c>
      <c r="J125" t="s">
        <v>578</v>
      </c>
      <c r="K125" t="s">
        <v>402</v>
      </c>
      <c r="L125">
        <v>1368</v>
      </c>
      <c r="N125">
        <v>1011</v>
      </c>
      <c r="O125" t="s">
        <v>341</v>
      </c>
      <c r="P125" t="s">
        <v>341</v>
      </c>
      <c r="Q125">
        <v>1</v>
      </c>
      <c r="X125">
        <v>0.22</v>
      </c>
      <c r="Y125">
        <v>0</v>
      </c>
      <c r="Z125">
        <v>87.17</v>
      </c>
      <c r="AA125">
        <v>11.6</v>
      </c>
      <c r="AB125">
        <v>0</v>
      </c>
      <c r="AC125">
        <v>0</v>
      </c>
      <c r="AD125">
        <v>1</v>
      </c>
      <c r="AE125">
        <v>0</v>
      </c>
      <c r="AF125" t="s">
        <v>19</v>
      </c>
      <c r="AG125">
        <v>0.275</v>
      </c>
      <c r="AH125">
        <v>2</v>
      </c>
      <c r="AI125">
        <v>45930124</v>
      </c>
      <c r="AJ125">
        <v>127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ROW(Source!A44)</f>
        <v>44</v>
      </c>
      <c r="B126">
        <v>45930140</v>
      </c>
      <c r="C126">
        <v>45930119</v>
      </c>
      <c r="D126">
        <v>13617019</v>
      </c>
      <c r="E126">
        <v>1</v>
      </c>
      <c r="F126">
        <v>1</v>
      </c>
      <c r="G126">
        <v>1</v>
      </c>
      <c r="H126">
        <v>3</v>
      </c>
      <c r="I126" t="s">
        <v>537</v>
      </c>
      <c r="J126" t="s">
        <v>579</v>
      </c>
      <c r="K126" t="s">
        <v>539</v>
      </c>
      <c r="L126">
        <v>1348</v>
      </c>
      <c r="N126">
        <v>1009</v>
      </c>
      <c r="O126" t="s">
        <v>406</v>
      </c>
      <c r="P126" t="s">
        <v>406</v>
      </c>
      <c r="Q126">
        <v>1000</v>
      </c>
      <c r="X126">
        <v>0.0004</v>
      </c>
      <c r="Y126">
        <v>15118.99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G126">
        <v>0.0004</v>
      </c>
      <c r="AH126">
        <v>2</v>
      </c>
      <c r="AI126">
        <v>45930125</v>
      </c>
      <c r="AJ126">
        <v>128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ROW(Source!A44)</f>
        <v>44</v>
      </c>
      <c r="B127">
        <v>45930141</v>
      </c>
      <c r="C127">
        <v>45930119</v>
      </c>
      <c r="D127">
        <v>13617149</v>
      </c>
      <c r="E127">
        <v>1</v>
      </c>
      <c r="F127">
        <v>1</v>
      </c>
      <c r="G127">
        <v>1</v>
      </c>
      <c r="H127">
        <v>3</v>
      </c>
      <c r="I127" t="s">
        <v>540</v>
      </c>
      <c r="J127" t="s">
        <v>580</v>
      </c>
      <c r="K127" t="s">
        <v>542</v>
      </c>
      <c r="L127">
        <v>1348</v>
      </c>
      <c r="N127">
        <v>1009</v>
      </c>
      <c r="O127" t="s">
        <v>406</v>
      </c>
      <c r="P127" t="s">
        <v>406</v>
      </c>
      <c r="Q127">
        <v>1000</v>
      </c>
      <c r="X127">
        <v>0.0002</v>
      </c>
      <c r="Y127">
        <v>16950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G127">
        <v>0.0002</v>
      </c>
      <c r="AH127">
        <v>2</v>
      </c>
      <c r="AI127">
        <v>45930126</v>
      </c>
      <c r="AJ127">
        <v>129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ROW(Source!A44)</f>
        <v>44</v>
      </c>
      <c r="B128">
        <v>45930142</v>
      </c>
      <c r="C128">
        <v>45930119</v>
      </c>
      <c r="D128">
        <v>13617177</v>
      </c>
      <c r="E128">
        <v>1</v>
      </c>
      <c r="F128">
        <v>1</v>
      </c>
      <c r="G128">
        <v>1</v>
      </c>
      <c r="H128">
        <v>3</v>
      </c>
      <c r="I128" t="s">
        <v>581</v>
      </c>
      <c r="J128" t="s">
        <v>582</v>
      </c>
      <c r="K128" t="s">
        <v>583</v>
      </c>
      <c r="L128">
        <v>1348</v>
      </c>
      <c r="N128">
        <v>1009</v>
      </c>
      <c r="O128" t="s">
        <v>406</v>
      </c>
      <c r="P128" t="s">
        <v>406</v>
      </c>
      <c r="Q128">
        <v>1000</v>
      </c>
      <c r="X128">
        <v>0.0036</v>
      </c>
      <c r="Y128">
        <v>5989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G128">
        <v>0.0036</v>
      </c>
      <c r="AH128">
        <v>2</v>
      </c>
      <c r="AI128">
        <v>45930127</v>
      </c>
      <c r="AJ128">
        <v>130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ROW(Source!A44)</f>
        <v>44</v>
      </c>
      <c r="B129">
        <v>45930143</v>
      </c>
      <c r="C129">
        <v>45930119</v>
      </c>
      <c r="D129">
        <v>13617832</v>
      </c>
      <c r="E129">
        <v>1</v>
      </c>
      <c r="F129">
        <v>1</v>
      </c>
      <c r="G129">
        <v>1</v>
      </c>
      <c r="H129">
        <v>3</v>
      </c>
      <c r="I129" t="s">
        <v>546</v>
      </c>
      <c r="J129" t="s">
        <v>584</v>
      </c>
      <c r="K129" t="s">
        <v>548</v>
      </c>
      <c r="L129">
        <v>1346</v>
      </c>
      <c r="N129">
        <v>1009</v>
      </c>
      <c r="O129" t="s">
        <v>351</v>
      </c>
      <c r="P129" t="s">
        <v>351</v>
      </c>
      <c r="Q129">
        <v>1</v>
      </c>
      <c r="X129">
        <v>0.3</v>
      </c>
      <c r="Y129">
        <v>37.29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G129">
        <v>0.3</v>
      </c>
      <c r="AH129">
        <v>2</v>
      </c>
      <c r="AI129">
        <v>45930128</v>
      </c>
      <c r="AJ129">
        <v>131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ROW(Source!A44)</f>
        <v>44</v>
      </c>
      <c r="B130">
        <v>45930144</v>
      </c>
      <c r="C130">
        <v>45930119</v>
      </c>
      <c r="D130">
        <v>13617990</v>
      </c>
      <c r="E130">
        <v>1</v>
      </c>
      <c r="F130">
        <v>1</v>
      </c>
      <c r="G130">
        <v>1</v>
      </c>
      <c r="H130">
        <v>3</v>
      </c>
      <c r="I130" t="s">
        <v>557</v>
      </c>
      <c r="J130" t="s">
        <v>585</v>
      </c>
      <c r="K130" t="s">
        <v>559</v>
      </c>
      <c r="L130">
        <v>1346</v>
      </c>
      <c r="N130">
        <v>1009</v>
      </c>
      <c r="O130" t="s">
        <v>351</v>
      </c>
      <c r="P130" t="s">
        <v>351</v>
      </c>
      <c r="Q130">
        <v>1</v>
      </c>
      <c r="X130">
        <v>2</v>
      </c>
      <c r="Y130">
        <v>9.61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G130">
        <v>2</v>
      </c>
      <c r="AH130">
        <v>2</v>
      </c>
      <c r="AI130">
        <v>45930129</v>
      </c>
      <c r="AJ130">
        <v>132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ROW(Source!A44)</f>
        <v>44</v>
      </c>
      <c r="B131">
        <v>45930145</v>
      </c>
      <c r="C131">
        <v>45930119</v>
      </c>
      <c r="D131">
        <v>13618279</v>
      </c>
      <c r="E131">
        <v>1</v>
      </c>
      <c r="F131">
        <v>1</v>
      </c>
      <c r="G131">
        <v>1</v>
      </c>
      <c r="H131">
        <v>3</v>
      </c>
      <c r="I131" t="s">
        <v>586</v>
      </c>
      <c r="J131" t="s">
        <v>587</v>
      </c>
      <c r="K131" t="s">
        <v>588</v>
      </c>
      <c r="L131">
        <v>1348</v>
      </c>
      <c r="N131">
        <v>1009</v>
      </c>
      <c r="O131" t="s">
        <v>406</v>
      </c>
      <c r="P131" t="s">
        <v>406</v>
      </c>
      <c r="Q131">
        <v>1000</v>
      </c>
      <c r="X131">
        <v>0.0007</v>
      </c>
      <c r="Y131">
        <v>11350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G131">
        <v>0.0007</v>
      </c>
      <c r="AH131">
        <v>2</v>
      </c>
      <c r="AI131">
        <v>45930130</v>
      </c>
      <c r="AJ131">
        <v>133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ROW(Source!A44)</f>
        <v>44</v>
      </c>
      <c r="B132">
        <v>45930146</v>
      </c>
      <c r="C132">
        <v>45930119</v>
      </c>
      <c r="D132">
        <v>13618297</v>
      </c>
      <c r="E132">
        <v>1</v>
      </c>
      <c r="F132">
        <v>1</v>
      </c>
      <c r="G132">
        <v>1</v>
      </c>
      <c r="H132">
        <v>3</v>
      </c>
      <c r="I132" t="s">
        <v>589</v>
      </c>
      <c r="J132" t="s">
        <v>590</v>
      </c>
      <c r="K132" t="s">
        <v>591</v>
      </c>
      <c r="L132">
        <v>1358</v>
      </c>
      <c r="N132">
        <v>1010</v>
      </c>
      <c r="O132" t="s">
        <v>142</v>
      </c>
      <c r="P132" t="s">
        <v>142</v>
      </c>
      <c r="Q132">
        <v>10</v>
      </c>
      <c r="X132">
        <v>4</v>
      </c>
      <c r="Y132">
        <v>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4</v>
      </c>
      <c r="AH132">
        <v>2</v>
      </c>
      <c r="AI132">
        <v>45930131</v>
      </c>
      <c r="AJ132">
        <v>134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ROW(Source!A44)</f>
        <v>44</v>
      </c>
      <c r="B133">
        <v>45930147</v>
      </c>
      <c r="C133">
        <v>45930119</v>
      </c>
      <c r="D133">
        <v>13629102</v>
      </c>
      <c r="E133">
        <v>1</v>
      </c>
      <c r="F133">
        <v>1</v>
      </c>
      <c r="G133">
        <v>1</v>
      </c>
      <c r="H133">
        <v>3</v>
      </c>
      <c r="I133" t="s">
        <v>127</v>
      </c>
      <c r="J133" t="s">
        <v>129</v>
      </c>
      <c r="K133" t="s">
        <v>128</v>
      </c>
      <c r="L133">
        <v>1035</v>
      </c>
      <c r="N133">
        <v>1013</v>
      </c>
      <c r="O133" t="s">
        <v>44</v>
      </c>
      <c r="P133" t="s">
        <v>44</v>
      </c>
      <c r="Q133">
        <v>1</v>
      </c>
      <c r="X133">
        <v>10</v>
      </c>
      <c r="Y133">
        <v>130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10</v>
      </c>
      <c r="AH133">
        <v>2</v>
      </c>
      <c r="AI133">
        <v>45930134</v>
      </c>
      <c r="AJ133">
        <v>137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ROW(Source!A48)</f>
        <v>48</v>
      </c>
      <c r="B134">
        <v>45926990</v>
      </c>
      <c r="C134">
        <v>45926980</v>
      </c>
      <c r="D134">
        <v>13669568</v>
      </c>
      <c r="E134">
        <v>1</v>
      </c>
      <c r="F134">
        <v>1</v>
      </c>
      <c r="G134">
        <v>1</v>
      </c>
      <c r="H134">
        <v>1</v>
      </c>
      <c r="I134" t="s">
        <v>532</v>
      </c>
      <c r="K134" t="s">
        <v>533</v>
      </c>
      <c r="L134">
        <v>1369</v>
      </c>
      <c r="N134">
        <v>1013</v>
      </c>
      <c r="O134" t="s">
        <v>335</v>
      </c>
      <c r="P134" t="s">
        <v>335</v>
      </c>
      <c r="Q134">
        <v>1</v>
      </c>
      <c r="X134">
        <v>7</v>
      </c>
      <c r="Y134">
        <v>0</v>
      </c>
      <c r="Z134">
        <v>0</v>
      </c>
      <c r="AA134">
        <v>0</v>
      </c>
      <c r="AB134">
        <v>9.62</v>
      </c>
      <c r="AC134">
        <v>0</v>
      </c>
      <c r="AD134">
        <v>1</v>
      </c>
      <c r="AE134">
        <v>1</v>
      </c>
      <c r="AF134" t="s">
        <v>20</v>
      </c>
      <c r="AG134">
        <v>8.049999999999999</v>
      </c>
      <c r="AH134">
        <v>2</v>
      </c>
      <c r="AI134">
        <v>45926981</v>
      </c>
      <c r="AJ134">
        <v>138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ROW(Source!A48)</f>
        <v>48</v>
      </c>
      <c r="B135">
        <v>45926991</v>
      </c>
      <c r="C135">
        <v>45926980</v>
      </c>
      <c r="D135">
        <v>30684488</v>
      </c>
      <c r="E135">
        <v>1</v>
      </c>
      <c r="F135">
        <v>1</v>
      </c>
      <c r="G135">
        <v>1</v>
      </c>
      <c r="H135">
        <v>2</v>
      </c>
      <c r="I135" t="s">
        <v>496</v>
      </c>
      <c r="J135" t="s">
        <v>592</v>
      </c>
      <c r="K135" t="s">
        <v>498</v>
      </c>
      <c r="L135">
        <v>1368</v>
      </c>
      <c r="N135">
        <v>1011</v>
      </c>
      <c r="O135" t="s">
        <v>341</v>
      </c>
      <c r="P135" t="s">
        <v>341</v>
      </c>
      <c r="Q135">
        <v>1</v>
      </c>
      <c r="X135">
        <v>0.1</v>
      </c>
      <c r="Y135">
        <v>0</v>
      </c>
      <c r="Z135">
        <v>1.95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19</v>
      </c>
      <c r="AG135">
        <v>0.125</v>
      </c>
      <c r="AH135">
        <v>2</v>
      </c>
      <c r="AI135">
        <v>45926982</v>
      </c>
      <c r="AJ135">
        <v>139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ROW(Source!A48)</f>
        <v>48</v>
      </c>
      <c r="B136">
        <v>45926992</v>
      </c>
      <c r="C136">
        <v>45926980</v>
      </c>
      <c r="D136">
        <v>30620385</v>
      </c>
      <c r="E136">
        <v>1</v>
      </c>
      <c r="F136">
        <v>1</v>
      </c>
      <c r="G136">
        <v>1</v>
      </c>
      <c r="H136">
        <v>3</v>
      </c>
      <c r="I136" t="s">
        <v>537</v>
      </c>
      <c r="J136" t="s">
        <v>593</v>
      </c>
      <c r="K136" t="s">
        <v>539</v>
      </c>
      <c r="L136">
        <v>1348</v>
      </c>
      <c r="N136">
        <v>1009</v>
      </c>
      <c r="O136" t="s">
        <v>406</v>
      </c>
      <c r="P136" t="s">
        <v>406</v>
      </c>
      <c r="Q136">
        <v>1000</v>
      </c>
      <c r="X136">
        <v>0.00026</v>
      </c>
      <c r="Y136">
        <v>15118.99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0.00026</v>
      </c>
      <c r="AH136">
        <v>2</v>
      </c>
      <c r="AI136">
        <v>45926983</v>
      </c>
      <c r="AJ136">
        <v>140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ROW(Source!A48)</f>
        <v>48</v>
      </c>
      <c r="B137">
        <v>45926993</v>
      </c>
      <c r="C137">
        <v>45926980</v>
      </c>
      <c r="D137">
        <v>30620560</v>
      </c>
      <c r="E137">
        <v>1</v>
      </c>
      <c r="F137">
        <v>1</v>
      </c>
      <c r="G137">
        <v>1</v>
      </c>
      <c r="H137">
        <v>3</v>
      </c>
      <c r="I137" t="s">
        <v>540</v>
      </c>
      <c r="J137" t="s">
        <v>594</v>
      </c>
      <c r="K137" t="s">
        <v>542</v>
      </c>
      <c r="L137">
        <v>1348</v>
      </c>
      <c r="N137">
        <v>1009</v>
      </c>
      <c r="O137" t="s">
        <v>406</v>
      </c>
      <c r="P137" t="s">
        <v>406</v>
      </c>
      <c r="Q137">
        <v>1000</v>
      </c>
      <c r="X137">
        <v>0.00013</v>
      </c>
      <c r="Y137">
        <v>16950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0.00013</v>
      </c>
      <c r="AH137">
        <v>2</v>
      </c>
      <c r="AI137">
        <v>45926984</v>
      </c>
      <c r="AJ137">
        <v>141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ROW(Source!A48)</f>
        <v>48</v>
      </c>
      <c r="B138">
        <v>45926994</v>
      </c>
      <c r="C138">
        <v>45926980</v>
      </c>
      <c r="D138">
        <v>30617950</v>
      </c>
      <c r="E138">
        <v>1</v>
      </c>
      <c r="F138">
        <v>1</v>
      </c>
      <c r="G138">
        <v>1</v>
      </c>
      <c r="H138">
        <v>3</v>
      </c>
      <c r="I138" t="s">
        <v>546</v>
      </c>
      <c r="J138" t="s">
        <v>595</v>
      </c>
      <c r="K138" t="s">
        <v>548</v>
      </c>
      <c r="L138">
        <v>1346</v>
      </c>
      <c r="N138">
        <v>1009</v>
      </c>
      <c r="O138" t="s">
        <v>351</v>
      </c>
      <c r="P138" t="s">
        <v>351</v>
      </c>
      <c r="Q138">
        <v>1</v>
      </c>
      <c r="X138">
        <v>0.13</v>
      </c>
      <c r="Y138">
        <v>37.29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0.13</v>
      </c>
      <c r="AH138">
        <v>2</v>
      </c>
      <c r="AI138">
        <v>45926985</v>
      </c>
      <c r="AJ138">
        <v>142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ROW(Source!A48)</f>
        <v>48</v>
      </c>
      <c r="B139">
        <v>45926995</v>
      </c>
      <c r="C139">
        <v>45926980</v>
      </c>
      <c r="D139">
        <v>30624676</v>
      </c>
      <c r="E139">
        <v>1</v>
      </c>
      <c r="F139">
        <v>1</v>
      </c>
      <c r="G139">
        <v>1</v>
      </c>
      <c r="H139">
        <v>3</v>
      </c>
      <c r="I139" t="s">
        <v>596</v>
      </c>
      <c r="J139" t="s">
        <v>597</v>
      </c>
      <c r="K139" t="s">
        <v>598</v>
      </c>
      <c r="L139">
        <v>1348</v>
      </c>
      <c r="N139">
        <v>1009</v>
      </c>
      <c r="O139" t="s">
        <v>406</v>
      </c>
      <c r="P139" t="s">
        <v>406</v>
      </c>
      <c r="Q139">
        <v>1000</v>
      </c>
      <c r="X139">
        <v>0.0001</v>
      </c>
      <c r="Y139">
        <v>12429.99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0.0001</v>
      </c>
      <c r="AH139">
        <v>2</v>
      </c>
      <c r="AI139">
        <v>45926986</v>
      </c>
      <c r="AJ139">
        <v>143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ROW(Source!A48)</f>
        <v>48</v>
      </c>
      <c r="B140">
        <v>45926996</v>
      </c>
      <c r="C140">
        <v>45926980</v>
      </c>
      <c r="D140">
        <v>30624458</v>
      </c>
      <c r="E140">
        <v>1</v>
      </c>
      <c r="F140">
        <v>1</v>
      </c>
      <c r="G140">
        <v>1</v>
      </c>
      <c r="H140">
        <v>3</v>
      </c>
      <c r="I140" t="s">
        <v>599</v>
      </c>
      <c r="J140" t="s">
        <v>600</v>
      </c>
      <c r="K140" t="s">
        <v>601</v>
      </c>
      <c r="L140">
        <v>1358</v>
      </c>
      <c r="N140">
        <v>1010</v>
      </c>
      <c r="O140" t="s">
        <v>142</v>
      </c>
      <c r="P140" t="s">
        <v>142</v>
      </c>
      <c r="Q140">
        <v>10</v>
      </c>
      <c r="X140">
        <v>2</v>
      </c>
      <c r="Y140">
        <v>160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2</v>
      </c>
      <c r="AH140">
        <v>2</v>
      </c>
      <c r="AI140">
        <v>45926987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ROW(Source!A48)</f>
        <v>48</v>
      </c>
      <c r="B141">
        <v>45926997</v>
      </c>
      <c r="C141">
        <v>45926980</v>
      </c>
      <c r="D141">
        <v>30652409</v>
      </c>
      <c r="E141">
        <v>1</v>
      </c>
      <c r="F141">
        <v>1</v>
      </c>
      <c r="G141">
        <v>1</v>
      </c>
      <c r="H141">
        <v>3</v>
      </c>
      <c r="I141" t="s">
        <v>145</v>
      </c>
      <c r="J141" t="s">
        <v>147</v>
      </c>
      <c r="K141" t="s">
        <v>146</v>
      </c>
      <c r="L141">
        <v>1354</v>
      </c>
      <c r="N141">
        <v>1010</v>
      </c>
      <c r="O141" t="s">
        <v>133</v>
      </c>
      <c r="P141" t="s">
        <v>133</v>
      </c>
      <c r="Q141">
        <v>1</v>
      </c>
      <c r="X141">
        <v>10</v>
      </c>
      <c r="Y141">
        <v>143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G141">
        <v>10</v>
      </c>
      <c r="AH141">
        <v>2</v>
      </c>
      <c r="AI141">
        <v>45926989</v>
      </c>
      <c r="AJ141">
        <v>146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ROW(Source!A51)</f>
        <v>51</v>
      </c>
      <c r="B142">
        <v>45927014</v>
      </c>
      <c r="C142">
        <v>45927000</v>
      </c>
      <c r="D142">
        <v>37728381</v>
      </c>
      <c r="E142">
        <v>1</v>
      </c>
      <c r="F142">
        <v>1</v>
      </c>
      <c r="G142">
        <v>1</v>
      </c>
      <c r="H142">
        <v>1</v>
      </c>
      <c r="I142" t="s">
        <v>602</v>
      </c>
      <c r="K142" t="s">
        <v>603</v>
      </c>
      <c r="L142">
        <v>1369</v>
      </c>
      <c r="N142">
        <v>1013</v>
      </c>
      <c r="O142" t="s">
        <v>335</v>
      </c>
      <c r="P142" t="s">
        <v>335</v>
      </c>
      <c r="Q142">
        <v>1</v>
      </c>
      <c r="X142">
        <v>96.95</v>
      </c>
      <c r="Y142">
        <v>0</v>
      </c>
      <c r="Z142">
        <v>0</v>
      </c>
      <c r="AA142">
        <v>0</v>
      </c>
      <c r="AB142">
        <v>9.51</v>
      </c>
      <c r="AC142">
        <v>0</v>
      </c>
      <c r="AD142">
        <v>1</v>
      </c>
      <c r="AE142">
        <v>1</v>
      </c>
      <c r="AF142" t="s">
        <v>20</v>
      </c>
      <c r="AG142">
        <v>111.49249999999999</v>
      </c>
      <c r="AH142">
        <v>2</v>
      </c>
      <c r="AI142">
        <v>45927001</v>
      </c>
      <c r="AJ142">
        <v>147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ROW(Source!A51)</f>
        <v>51</v>
      </c>
      <c r="B143">
        <v>45927015</v>
      </c>
      <c r="C143">
        <v>45927000</v>
      </c>
      <c r="D143">
        <v>121548</v>
      </c>
      <c r="E143">
        <v>1</v>
      </c>
      <c r="F143">
        <v>1</v>
      </c>
      <c r="G143">
        <v>1</v>
      </c>
      <c r="H143">
        <v>1</v>
      </c>
      <c r="I143" t="s">
        <v>32</v>
      </c>
      <c r="K143" t="s">
        <v>336</v>
      </c>
      <c r="L143">
        <v>608254</v>
      </c>
      <c r="N143">
        <v>1013</v>
      </c>
      <c r="O143" t="s">
        <v>337</v>
      </c>
      <c r="P143" t="s">
        <v>337</v>
      </c>
      <c r="Q143">
        <v>1</v>
      </c>
      <c r="X143">
        <v>0.01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19</v>
      </c>
      <c r="AG143">
        <v>0.0125</v>
      </c>
      <c r="AH143">
        <v>2</v>
      </c>
      <c r="AI143">
        <v>45927002</v>
      </c>
      <c r="AJ143">
        <v>148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ROW(Source!A51)</f>
        <v>51</v>
      </c>
      <c r="B144">
        <v>45927016</v>
      </c>
      <c r="C144">
        <v>45927000</v>
      </c>
      <c r="D144">
        <v>37726147</v>
      </c>
      <c r="E144">
        <v>1</v>
      </c>
      <c r="F144">
        <v>1</v>
      </c>
      <c r="G144">
        <v>1</v>
      </c>
      <c r="H144">
        <v>2</v>
      </c>
      <c r="I144" t="s">
        <v>604</v>
      </c>
      <c r="J144" t="s">
        <v>605</v>
      </c>
      <c r="K144" t="s">
        <v>606</v>
      </c>
      <c r="L144">
        <v>1368</v>
      </c>
      <c r="N144">
        <v>1011</v>
      </c>
      <c r="O144" t="s">
        <v>341</v>
      </c>
      <c r="P144" t="s">
        <v>341</v>
      </c>
      <c r="Q144">
        <v>1</v>
      </c>
      <c r="X144">
        <v>0.003</v>
      </c>
      <c r="Y144">
        <v>0</v>
      </c>
      <c r="Z144">
        <v>83.43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19</v>
      </c>
      <c r="AG144">
        <v>0.00375</v>
      </c>
      <c r="AH144">
        <v>2</v>
      </c>
      <c r="AI144">
        <v>45927003</v>
      </c>
      <c r="AJ144">
        <v>149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ROW(Source!A51)</f>
        <v>51</v>
      </c>
      <c r="B145">
        <v>45927017</v>
      </c>
      <c r="C145">
        <v>45927000</v>
      </c>
      <c r="D145">
        <v>37726152</v>
      </c>
      <c r="E145">
        <v>1</v>
      </c>
      <c r="F145">
        <v>1</v>
      </c>
      <c r="G145">
        <v>1</v>
      </c>
      <c r="H145">
        <v>2</v>
      </c>
      <c r="I145" t="s">
        <v>607</v>
      </c>
      <c r="J145" t="s">
        <v>608</v>
      </c>
      <c r="K145" t="s">
        <v>609</v>
      </c>
      <c r="L145">
        <v>1368</v>
      </c>
      <c r="N145">
        <v>1011</v>
      </c>
      <c r="O145" t="s">
        <v>341</v>
      </c>
      <c r="P145" t="s">
        <v>341</v>
      </c>
      <c r="Q145">
        <v>1</v>
      </c>
      <c r="X145">
        <v>0.004</v>
      </c>
      <c r="Y145">
        <v>0</v>
      </c>
      <c r="Z145">
        <v>88.01</v>
      </c>
      <c r="AA145">
        <v>11.6</v>
      </c>
      <c r="AB145">
        <v>0</v>
      </c>
      <c r="AC145">
        <v>0</v>
      </c>
      <c r="AD145">
        <v>1</v>
      </c>
      <c r="AE145">
        <v>0</v>
      </c>
      <c r="AF145" t="s">
        <v>19</v>
      </c>
      <c r="AG145">
        <v>0.005</v>
      </c>
      <c r="AH145">
        <v>2</v>
      </c>
      <c r="AI145">
        <v>45927004</v>
      </c>
      <c r="AJ145">
        <v>150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ROW(Source!A51)</f>
        <v>51</v>
      </c>
      <c r="B146">
        <v>45927018</v>
      </c>
      <c r="C146">
        <v>45927000</v>
      </c>
      <c r="D146">
        <v>37726209</v>
      </c>
      <c r="E146">
        <v>1</v>
      </c>
      <c r="F146">
        <v>1</v>
      </c>
      <c r="G146">
        <v>1</v>
      </c>
      <c r="H146">
        <v>2</v>
      </c>
      <c r="I146" t="s">
        <v>610</v>
      </c>
      <c r="J146" t="s">
        <v>611</v>
      </c>
      <c r="K146" t="s">
        <v>612</v>
      </c>
      <c r="L146">
        <v>1368</v>
      </c>
      <c r="N146">
        <v>1011</v>
      </c>
      <c r="O146" t="s">
        <v>341</v>
      </c>
      <c r="P146" t="s">
        <v>341</v>
      </c>
      <c r="Q146">
        <v>1</v>
      </c>
      <c r="X146">
        <v>1.27</v>
      </c>
      <c r="Y146">
        <v>0</v>
      </c>
      <c r="Z146">
        <v>29.67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19</v>
      </c>
      <c r="AG146">
        <v>1.5875</v>
      </c>
      <c r="AH146">
        <v>2</v>
      </c>
      <c r="AI146">
        <v>45927005</v>
      </c>
      <c r="AJ146">
        <v>151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ROW(Source!A51)</f>
        <v>51</v>
      </c>
      <c r="B147">
        <v>45927019</v>
      </c>
      <c r="C147">
        <v>45927000</v>
      </c>
      <c r="D147">
        <v>37726271</v>
      </c>
      <c r="E147">
        <v>1</v>
      </c>
      <c r="F147">
        <v>1</v>
      </c>
      <c r="G147">
        <v>1</v>
      </c>
      <c r="H147">
        <v>2</v>
      </c>
      <c r="I147" t="s">
        <v>342</v>
      </c>
      <c r="J147" t="s">
        <v>343</v>
      </c>
      <c r="K147" t="s">
        <v>344</v>
      </c>
      <c r="L147">
        <v>1368</v>
      </c>
      <c r="N147">
        <v>1011</v>
      </c>
      <c r="O147" t="s">
        <v>341</v>
      </c>
      <c r="P147" t="s">
        <v>341</v>
      </c>
      <c r="Q147">
        <v>1</v>
      </c>
      <c r="X147">
        <v>1.87</v>
      </c>
      <c r="Y147">
        <v>0</v>
      </c>
      <c r="Z147">
        <v>3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19</v>
      </c>
      <c r="AG147">
        <v>2.3375000000000004</v>
      </c>
      <c r="AH147">
        <v>2</v>
      </c>
      <c r="AI147">
        <v>45927006</v>
      </c>
      <c r="AJ147">
        <v>152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ROW(Source!A51)</f>
        <v>51</v>
      </c>
      <c r="B148">
        <v>45927020</v>
      </c>
      <c r="C148">
        <v>45927000</v>
      </c>
      <c r="D148">
        <v>37726386</v>
      </c>
      <c r="E148">
        <v>1</v>
      </c>
      <c r="F148">
        <v>1</v>
      </c>
      <c r="G148">
        <v>1</v>
      </c>
      <c r="H148">
        <v>2</v>
      </c>
      <c r="I148" t="s">
        <v>345</v>
      </c>
      <c r="J148" t="s">
        <v>346</v>
      </c>
      <c r="K148" t="s">
        <v>347</v>
      </c>
      <c r="L148">
        <v>1368</v>
      </c>
      <c r="N148">
        <v>1011</v>
      </c>
      <c r="O148" t="s">
        <v>341</v>
      </c>
      <c r="P148" t="s">
        <v>341</v>
      </c>
      <c r="Q148">
        <v>1</v>
      </c>
      <c r="X148">
        <v>3.29</v>
      </c>
      <c r="Y148">
        <v>0</v>
      </c>
      <c r="Z148">
        <v>2.08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19</v>
      </c>
      <c r="AG148">
        <v>4.1125</v>
      </c>
      <c r="AH148">
        <v>2</v>
      </c>
      <c r="AI148">
        <v>45927007</v>
      </c>
      <c r="AJ148">
        <v>153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ROW(Source!A51)</f>
        <v>51</v>
      </c>
      <c r="B149">
        <v>45927021</v>
      </c>
      <c r="C149">
        <v>45927000</v>
      </c>
      <c r="D149">
        <v>37726424</v>
      </c>
      <c r="E149">
        <v>1</v>
      </c>
      <c r="F149">
        <v>1</v>
      </c>
      <c r="G149">
        <v>1</v>
      </c>
      <c r="H149">
        <v>2</v>
      </c>
      <c r="I149" t="s">
        <v>613</v>
      </c>
      <c r="J149" t="s">
        <v>614</v>
      </c>
      <c r="K149" t="s">
        <v>615</v>
      </c>
      <c r="L149">
        <v>1368</v>
      </c>
      <c r="N149">
        <v>1011</v>
      </c>
      <c r="O149" t="s">
        <v>341</v>
      </c>
      <c r="P149" t="s">
        <v>341</v>
      </c>
      <c r="Q149">
        <v>1</v>
      </c>
      <c r="X149">
        <v>16.38</v>
      </c>
      <c r="Y149">
        <v>0</v>
      </c>
      <c r="Z149">
        <v>26.25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19</v>
      </c>
      <c r="AG149">
        <v>20.474999999999998</v>
      </c>
      <c r="AH149">
        <v>2</v>
      </c>
      <c r="AI149">
        <v>45927008</v>
      </c>
      <c r="AJ149">
        <v>154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ROW(Source!A51)</f>
        <v>51</v>
      </c>
      <c r="B150">
        <v>45927022</v>
      </c>
      <c r="C150">
        <v>45927000</v>
      </c>
      <c r="D150">
        <v>37724790</v>
      </c>
      <c r="E150">
        <v>1</v>
      </c>
      <c r="F150">
        <v>1</v>
      </c>
      <c r="G150">
        <v>1</v>
      </c>
      <c r="H150">
        <v>3</v>
      </c>
      <c r="I150" t="s">
        <v>616</v>
      </c>
      <c r="J150" t="s">
        <v>617</v>
      </c>
      <c r="K150" t="s">
        <v>618</v>
      </c>
      <c r="L150">
        <v>1356</v>
      </c>
      <c r="N150">
        <v>1010</v>
      </c>
      <c r="O150" t="s">
        <v>566</v>
      </c>
      <c r="P150" t="s">
        <v>566</v>
      </c>
      <c r="Q150">
        <v>1000</v>
      </c>
      <c r="X150">
        <v>0.143</v>
      </c>
      <c r="Y150">
        <v>179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0.143</v>
      </c>
      <c r="AH150">
        <v>2</v>
      </c>
      <c r="AI150">
        <v>45927009</v>
      </c>
      <c r="AJ150">
        <v>155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ROW(Source!A51)</f>
        <v>51</v>
      </c>
      <c r="B151">
        <v>45927023</v>
      </c>
      <c r="C151">
        <v>45927000</v>
      </c>
      <c r="D151">
        <v>37724776</v>
      </c>
      <c r="E151">
        <v>1</v>
      </c>
      <c r="F151">
        <v>1</v>
      </c>
      <c r="G151">
        <v>1</v>
      </c>
      <c r="H151">
        <v>3</v>
      </c>
      <c r="I151" t="s">
        <v>619</v>
      </c>
      <c r="J151" t="s">
        <v>620</v>
      </c>
      <c r="K151" t="s">
        <v>621</v>
      </c>
      <c r="L151">
        <v>1348</v>
      </c>
      <c r="N151">
        <v>1009</v>
      </c>
      <c r="O151" t="s">
        <v>406</v>
      </c>
      <c r="P151" t="s">
        <v>406</v>
      </c>
      <c r="Q151">
        <v>1000</v>
      </c>
      <c r="X151">
        <v>0.0009</v>
      </c>
      <c r="Y151">
        <v>13788.77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0.0009</v>
      </c>
      <c r="AH151">
        <v>2</v>
      </c>
      <c r="AI151">
        <v>45927010</v>
      </c>
      <c r="AJ151">
        <v>156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ROW(Source!A51)</f>
        <v>51</v>
      </c>
      <c r="B152">
        <v>45927024</v>
      </c>
      <c r="C152">
        <v>45927000</v>
      </c>
      <c r="D152">
        <v>37725976</v>
      </c>
      <c r="E152">
        <v>1</v>
      </c>
      <c r="F152">
        <v>1</v>
      </c>
      <c r="G152">
        <v>1</v>
      </c>
      <c r="H152">
        <v>3</v>
      </c>
      <c r="I152" t="s">
        <v>681</v>
      </c>
      <c r="J152" t="s">
        <v>682</v>
      </c>
      <c r="K152" t="s">
        <v>683</v>
      </c>
      <c r="L152">
        <v>1354</v>
      </c>
      <c r="N152">
        <v>1010</v>
      </c>
      <c r="O152" t="s">
        <v>133</v>
      </c>
      <c r="P152" t="s">
        <v>133</v>
      </c>
      <c r="Q152">
        <v>1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1</v>
      </c>
      <c r="AD152">
        <v>0</v>
      </c>
      <c r="AE152">
        <v>0</v>
      </c>
      <c r="AG152">
        <v>0</v>
      </c>
      <c r="AH152">
        <v>3</v>
      </c>
      <c r="AI152">
        <v>-1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ROW(Source!A51)</f>
        <v>51</v>
      </c>
      <c r="B153">
        <v>45927025</v>
      </c>
      <c r="C153">
        <v>45927000</v>
      </c>
      <c r="D153">
        <v>37726005</v>
      </c>
      <c r="E153">
        <v>1</v>
      </c>
      <c r="F153">
        <v>1</v>
      </c>
      <c r="G153">
        <v>1</v>
      </c>
      <c r="H153">
        <v>3</v>
      </c>
      <c r="I153" t="s">
        <v>684</v>
      </c>
      <c r="J153" t="s">
        <v>685</v>
      </c>
      <c r="K153" t="s">
        <v>686</v>
      </c>
      <c r="L153">
        <v>1354</v>
      </c>
      <c r="N153">
        <v>1010</v>
      </c>
      <c r="O153" t="s">
        <v>133</v>
      </c>
      <c r="P153" t="s">
        <v>133</v>
      </c>
      <c r="Q153">
        <v>1</v>
      </c>
      <c r="X153">
        <v>143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G153">
        <v>143</v>
      </c>
      <c r="AH153">
        <v>3</v>
      </c>
      <c r="AI153">
        <v>-1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ROW(Source!A51)</f>
        <v>51</v>
      </c>
      <c r="B154">
        <v>45927026</v>
      </c>
      <c r="C154">
        <v>45927000</v>
      </c>
      <c r="D154">
        <v>37726007</v>
      </c>
      <c r="E154">
        <v>1</v>
      </c>
      <c r="F154">
        <v>1</v>
      </c>
      <c r="G154">
        <v>1</v>
      </c>
      <c r="H154">
        <v>3</v>
      </c>
      <c r="I154" t="s">
        <v>687</v>
      </c>
      <c r="J154" t="s">
        <v>688</v>
      </c>
      <c r="K154" t="s">
        <v>689</v>
      </c>
      <c r="L154">
        <v>1348</v>
      </c>
      <c r="N154">
        <v>1009</v>
      </c>
      <c r="O154" t="s">
        <v>406</v>
      </c>
      <c r="P154" t="s">
        <v>406</v>
      </c>
      <c r="Q154">
        <v>1000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G154">
        <v>0</v>
      </c>
      <c r="AH154">
        <v>3</v>
      </c>
      <c r="AI154">
        <v>-1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ROW(Source!A51)</f>
        <v>51</v>
      </c>
      <c r="B155">
        <v>45927027</v>
      </c>
      <c r="C155">
        <v>45927000</v>
      </c>
      <c r="D155">
        <v>37725403</v>
      </c>
      <c r="E155">
        <v>1</v>
      </c>
      <c r="F155">
        <v>1</v>
      </c>
      <c r="G155">
        <v>1</v>
      </c>
      <c r="H155">
        <v>3</v>
      </c>
      <c r="I155" t="s">
        <v>622</v>
      </c>
      <c r="J155" t="s">
        <v>623</v>
      </c>
      <c r="K155" t="s">
        <v>624</v>
      </c>
      <c r="L155">
        <v>1346</v>
      </c>
      <c r="N155">
        <v>1009</v>
      </c>
      <c r="O155" t="s">
        <v>351</v>
      </c>
      <c r="P155" t="s">
        <v>351</v>
      </c>
      <c r="Q155">
        <v>1</v>
      </c>
      <c r="X155">
        <v>0.0016</v>
      </c>
      <c r="Y155">
        <v>2.15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0.0016</v>
      </c>
      <c r="AH155">
        <v>2</v>
      </c>
      <c r="AI155">
        <v>45927011</v>
      </c>
      <c r="AJ155">
        <v>158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ROW(Source!A51)</f>
        <v>51</v>
      </c>
      <c r="B156">
        <v>45927028</v>
      </c>
      <c r="C156">
        <v>45927000</v>
      </c>
      <c r="D156">
        <v>37725428</v>
      </c>
      <c r="E156">
        <v>1</v>
      </c>
      <c r="F156">
        <v>1</v>
      </c>
      <c r="G156">
        <v>1</v>
      </c>
      <c r="H156">
        <v>3</v>
      </c>
      <c r="I156" t="s">
        <v>385</v>
      </c>
      <c r="J156" t="s">
        <v>386</v>
      </c>
      <c r="K156" t="s">
        <v>387</v>
      </c>
      <c r="L156">
        <v>1339</v>
      </c>
      <c r="N156">
        <v>1007</v>
      </c>
      <c r="O156" t="s">
        <v>388</v>
      </c>
      <c r="P156" t="s">
        <v>388</v>
      </c>
      <c r="Q156">
        <v>1</v>
      </c>
      <c r="X156">
        <v>0.144</v>
      </c>
      <c r="Y156">
        <v>2.44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0.144</v>
      </c>
      <c r="AH156">
        <v>2</v>
      </c>
      <c r="AI156">
        <v>45927012</v>
      </c>
      <c r="AJ156">
        <v>159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ROW(Source!A51)</f>
        <v>51</v>
      </c>
      <c r="B157">
        <v>45927029</v>
      </c>
      <c r="C157">
        <v>45927000</v>
      </c>
      <c r="D157">
        <v>37726023</v>
      </c>
      <c r="E157">
        <v>1</v>
      </c>
      <c r="F157">
        <v>1</v>
      </c>
      <c r="G157">
        <v>1</v>
      </c>
      <c r="H157">
        <v>3</v>
      </c>
      <c r="I157" t="s">
        <v>690</v>
      </c>
      <c r="J157" t="s">
        <v>691</v>
      </c>
      <c r="K157" t="s">
        <v>692</v>
      </c>
      <c r="L157">
        <v>1302</v>
      </c>
      <c r="N157">
        <v>1003</v>
      </c>
      <c r="O157" t="s">
        <v>693</v>
      </c>
      <c r="P157" t="s">
        <v>693</v>
      </c>
      <c r="Q157">
        <v>10</v>
      </c>
      <c r="X157">
        <v>10.05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G157">
        <v>10.05</v>
      </c>
      <c r="AH157">
        <v>3</v>
      </c>
      <c r="AI157">
        <v>-1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ROW(Source!A53)</f>
        <v>53</v>
      </c>
      <c r="B158">
        <v>45927045</v>
      </c>
      <c r="C158">
        <v>45927031</v>
      </c>
      <c r="D158">
        <v>37728381</v>
      </c>
      <c r="E158">
        <v>1</v>
      </c>
      <c r="F158">
        <v>1</v>
      </c>
      <c r="G158">
        <v>1</v>
      </c>
      <c r="H158">
        <v>1</v>
      </c>
      <c r="I158" t="s">
        <v>602</v>
      </c>
      <c r="K158" t="s">
        <v>603</v>
      </c>
      <c r="L158">
        <v>1369</v>
      </c>
      <c r="N158">
        <v>1013</v>
      </c>
      <c r="O158" t="s">
        <v>335</v>
      </c>
      <c r="P158" t="s">
        <v>335</v>
      </c>
      <c r="Q158">
        <v>1</v>
      </c>
      <c r="X158">
        <v>81.45</v>
      </c>
      <c r="Y158">
        <v>0</v>
      </c>
      <c r="Z158">
        <v>0</v>
      </c>
      <c r="AA158">
        <v>0</v>
      </c>
      <c r="AB158">
        <v>9.51</v>
      </c>
      <c r="AC158">
        <v>0</v>
      </c>
      <c r="AD158">
        <v>1</v>
      </c>
      <c r="AE158">
        <v>1</v>
      </c>
      <c r="AF158" t="s">
        <v>20</v>
      </c>
      <c r="AG158">
        <v>93.66749999999999</v>
      </c>
      <c r="AH158">
        <v>2</v>
      </c>
      <c r="AI158">
        <v>45927032</v>
      </c>
      <c r="AJ158">
        <v>160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ROW(Source!A53)</f>
        <v>53</v>
      </c>
      <c r="B159">
        <v>45927046</v>
      </c>
      <c r="C159">
        <v>45927031</v>
      </c>
      <c r="D159">
        <v>121548</v>
      </c>
      <c r="E159">
        <v>1</v>
      </c>
      <c r="F159">
        <v>1</v>
      </c>
      <c r="G159">
        <v>1</v>
      </c>
      <c r="H159">
        <v>1</v>
      </c>
      <c r="I159" t="s">
        <v>32</v>
      </c>
      <c r="K159" t="s">
        <v>336</v>
      </c>
      <c r="L159">
        <v>608254</v>
      </c>
      <c r="N159">
        <v>1013</v>
      </c>
      <c r="O159" t="s">
        <v>337</v>
      </c>
      <c r="P159" t="s">
        <v>337</v>
      </c>
      <c r="Q159">
        <v>1</v>
      </c>
      <c r="X159">
        <v>0.01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19</v>
      </c>
      <c r="AG159">
        <v>0.0125</v>
      </c>
      <c r="AH159">
        <v>2</v>
      </c>
      <c r="AI159">
        <v>45927033</v>
      </c>
      <c r="AJ159">
        <v>161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ROW(Source!A53)</f>
        <v>53</v>
      </c>
      <c r="B160">
        <v>45927047</v>
      </c>
      <c r="C160">
        <v>45927031</v>
      </c>
      <c r="D160">
        <v>37726147</v>
      </c>
      <c r="E160">
        <v>1</v>
      </c>
      <c r="F160">
        <v>1</v>
      </c>
      <c r="G160">
        <v>1</v>
      </c>
      <c r="H160">
        <v>2</v>
      </c>
      <c r="I160" t="s">
        <v>604</v>
      </c>
      <c r="J160" t="s">
        <v>605</v>
      </c>
      <c r="K160" t="s">
        <v>606</v>
      </c>
      <c r="L160">
        <v>1368</v>
      </c>
      <c r="N160">
        <v>1011</v>
      </c>
      <c r="O160" t="s">
        <v>341</v>
      </c>
      <c r="P160" t="s">
        <v>341</v>
      </c>
      <c r="Q160">
        <v>1</v>
      </c>
      <c r="X160">
        <v>0.004</v>
      </c>
      <c r="Y160">
        <v>0</v>
      </c>
      <c r="Z160">
        <v>83.43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19</v>
      </c>
      <c r="AG160">
        <v>0.005</v>
      </c>
      <c r="AH160">
        <v>2</v>
      </c>
      <c r="AI160">
        <v>45927034</v>
      </c>
      <c r="AJ160">
        <v>162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ROW(Source!A53)</f>
        <v>53</v>
      </c>
      <c r="B161">
        <v>45927048</v>
      </c>
      <c r="C161">
        <v>45927031</v>
      </c>
      <c r="D161">
        <v>37726152</v>
      </c>
      <c r="E161">
        <v>1</v>
      </c>
      <c r="F161">
        <v>1</v>
      </c>
      <c r="G161">
        <v>1</v>
      </c>
      <c r="H161">
        <v>2</v>
      </c>
      <c r="I161" t="s">
        <v>607</v>
      </c>
      <c r="J161" t="s">
        <v>608</v>
      </c>
      <c r="K161" t="s">
        <v>609</v>
      </c>
      <c r="L161">
        <v>1368</v>
      </c>
      <c r="N161">
        <v>1011</v>
      </c>
      <c r="O161" t="s">
        <v>341</v>
      </c>
      <c r="P161" t="s">
        <v>341</v>
      </c>
      <c r="Q161">
        <v>1</v>
      </c>
      <c r="X161">
        <v>0.006</v>
      </c>
      <c r="Y161">
        <v>0</v>
      </c>
      <c r="Z161">
        <v>88.01</v>
      </c>
      <c r="AA161">
        <v>11.6</v>
      </c>
      <c r="AB161">
        <v>0</v>
      </c>
      <c r="AC161">
        <v>0</v>
      </c>
      <c r="AD161">
        <v>1</v>
      </c>
      <c r="AE161">
        <v>0</v>
      </c>
      <c r="AF161" t="s">
        <v>19</v>
      </c>
      <c r="AG161">
        <v>0.0075</v>
      </c>
      <c r="AH161">
        <v>2</v>
      </c>
      <c r="AI161">
        <v>45927035</v>
      </c>
      <c r="AJ161">
        <v>163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ROW(Source!A53)</f>
        <v>53</v>
      </c>
      <c r="B162">
        <v>45927049</v>
      </c>
      <c r="C162">
        <v>45927031</v>
      </c>
      <c r="D162">
        <v>37726209</v>
      </c>
      <c r="E162">
        <v>1</v>
      </c>
      <c r="F162">
        <v>1</v>
      </c>
      <c r="G162">
        <v>1</v>
      </c>
      <c r="H162">
        <v>2</v>
      </c>
      <c r="I162" t="s">
        <v>610</v>
      </c>
      <c r="J162" t="s">
        <v>611</v>
      </c>
      <c r="K162" t="s">
        <v>612</v>
      </c>
      <c r="L162">
        <v>1368</v>
      </c>
      <c r="N162">
        <v>1011</v>
      </c>
      <c r="O162" t="s">
        <v>341</v>
      </c>
      <c r="P162" t="s">
        <v>341</v>
      </c>
      <c r="Q162">
        <v>1</v>
      </c>
      <c r="X162">
        <v>1.27</v>
      </c>
      <c r="Y162">
        <v>0</v>
      </c>
      <c r="Z162">
        <v>29.67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19</v>
      </c>
      <c r="AG162">
        <v>1.5875</v>
      </c>
      <c r="AH162">
        <v>2</v>
      </c>
      <c r="AI162">
        <v>45927036</v>
      </c>
      <c r="AJ162">
        <v>164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ROW(Source!A53)</f>
        <v>53</v>
      </c>
      <c r="B163">
        <v>45927050</v>
      </c>
      <c r="C163">
        <v>45927031</v>
      </c>
      <c r="D163">
        <v>37726271</v>
      </c>
      <c r="E163">
        <v>1</v>
      </c>
      <c r="F163">
        <v>1</v>
      </c>
      <c r="G163">
        <v>1</v>
      </c>
      <c r="H163">
        <v>2</v>
      </c>
      <c r="I163" t="s">
        <v>342</v>
      </c>
      <c r="J163" t="s">
        <v>343</v>
      </c>
      <c r="K163" t="s">
        <v>344</v>
      </c>
      <c r="L163">
        <v>1368</v>
      </c>
      <c r="N163">
        <v>1011</v>
      </c>
      <c r="O163" t="s">
        <v>341</v>
      </c>
      <c r="P163" t="s">
        <v>341</v>
      </c>
      <c r="Q163">
        <v>1</v>
      </c>
      <c r="X163">
        <v>1.62</v>
      </c>
      <c r="Y163">
        <v>0</v>
      </c>
      <c r="Z163">
        <v>3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19</v>
      </c>
      <c r="AG163">
        <v>2.0250000000000004</v>
      </c>
      <c r="AH163">
        <v>2</v>
      </c>
      <c r="AI163">
        <v>45927037</v>
      </c>
      <c r="AJ163">
        <v>165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ROW(Source!A53)</f>
        <v>53</v>
      </c>
      <c r="B164">
        <v>45927051</v>
      </c>
      <c r="C164">
        <v>45927031</v>
      </c>
      <c r="D164">
        <v>37726386</v>
      </c>
      <c r="E164">
        <v>1</v>
      </c>
      <c r="F164">
        <v>1</v>
      </c>
      <c r="G164">
        <v>1</v>
      </c>
      <c r="H164">
        <v>2</v>
      </c>
      <c r="I164" t="s">
        <v>345</v>
      </c>
      <c r="J164" t="s">
        <v>346</v>
      </c>
      <c r="K164" t="s">
        <v>347</v>
      </c>
      <c r="L164">
        <v>1368</v>
      </c>
      <c r="N164">
        <v>1011</v>
      </c>
      <c r="O164" t="s">
        <v>341</v>
      </c>
      <c r="P164" t="s">
        <v>341</v>
      </c>
      <c r="Q164">
        <v>1</v>
      </c>
      <c r="X164">
        <v>2.88</v>
      </c>
      <c r="Y164">
        <v>0</v>
      </c>
      <c r="Z164">
        <v>2.08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19</v>
      </c>
      <c r="AG164">
        <v>3.5999999999999996</v>
      </c>
      <c r="AH164">
        <v>2</v>
      </c>
      <c r="AI164">
        <v>45927038</v>
      </c>
      <c r="AJ164">
        <v>166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ROW(Source!A53)</f>
        <v>53</v>
      </c>
      <c r="B165">
        <v>45927052</v>
      </c>
      <c r="C165">
        <v>45927031</v>
      </c>
      <c r="D165">
        <v>37726424</v>
      </c>
      <c r="E165">
        <v>1</v>
      </c>
      <c r="F165">
        <v>1</v>
      </c>
      <c r="G165">
        <v>1</v>
      </c>
      <c r="H165">
        <v>2</v>
      </c>
      <c r="I165" t="s">
        <v>613</v>
      </c>
      <c r="J165" t="s">
        <v>614</v>
      </c>
      <c r="K165" t="s">
        <v>615</v>
      </c>
      <c r="L165">
        <v>1368</v>
      </c>
      <c r="N165">
        <v>1011</v>
      </c>
      <c r="O165" t="s">
        <v>341</v>
      </c>
      <c r="P165" t="s">
        <v>341</v>
      </c>
      <c r="Q165">
        <v>1</v>
      </c>
      <c r="X165">
        <v>12.8</v>
      </c>
      <c r="Y165">
        <v>0</v>
      </c>
      <c r="Z165">
        <v>26.25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19</v>
      </c>
      <c r="AG165">
        <v>16</v>
      </c>
      <c r="AH165">
        <v>2</v>
      </c>
      <c r="AI165">
        <v>45927039</v>
      </c>
      <c r="AJ165">
        <v>167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ROW(Source!A53)</f>
        <v>53</v>
      </c>
      <c r="B166">
        <v>45927053</v>
      </c>
      <c r="C166">
        <v>45927031</v>
      </c>
      <c r="D166">
        <v>37724790</v>
      </c>
      <c r="E166">
        <v>1</v>
      </c>
      <c r="F166">
        <v>1</v>
      </c>
      <c r="G166">
        <v>1</v>
      </c>
      <c r="H166">
        <v>3</v>
      </c>
      <c r="I166" t="s">
        <v>616</v>
      </c>
      <c r="J166" t="s">
        <v>617</v>
      </c>
      <c r="K166" t="s">
        <v>618</v>
      </c>
      <c r="L166">
        <v>1356</v>
      </c>
      <c r="N166">
        <v>1010</v>
      </c>
      <c r="O166" t="s">
        <v>566</v>
      </c>
      <c r="P166" t="s">
        <v>566</v>
      </c>
      <c r="Q166">
        <v>1000</v>
      </c>
      <c r="X166">
        <v>0.125</v>
      </c>
      <c r="Y166">
        <v>179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0.125</v>
      </c>
      <c r="AH166">
        <v>2</v>
      </c>
      <c r="AI166">
        <v>45927040</v>
      </c>
      <c r="AJ166">
        <v>168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ROW(Source!A53)</f>
        <v>53</v>
      </c>
      <c r="B167">
        <v>45927054</v>
      </c>
      <c r="C167">
        <v>45927031</v>
      </c>
      <c r="D167">
        <v>37724776</v>
      </c>
      <c r="E167">
        <v>1</v>
      </c>
      <c r="F167">
        <v>1</v>
      </c>
      <c r="G167">
        <v>1</v>
      </c>
      <c r="H167">
        <v>3</v>
      </c>
      <c r="I167" t="s">
        <v>619</v>
      </c>
      <c r="J167" t="s">
        <v>620</v>
      </c>
      <c r="K167" t="s">
        <v>621</v>
      </c>
      <c r="L167">
        <v>1348</v>
      </c>
      <c r="N167">
        <v>1009</v>
      </c>
      <c r="O167" t="s">
        <v>406</v>
      </c>
      <c r="P167" t="s">
        <v>406</v>
      </c>
      <c r="Q167">
        <v>1000</v>
      </c>
      <c r="X167">
        <v>0.0008</v>
      </c>
      <c r="Y167">
        <v>13788.77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0.0008</v>
      </c>
      <c r="AH167">
        <v>2</v>
      </c>
      <c r="AI167">
        <v>45927041</v>
      </c>
      <c r="AJ167">
        <v>169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ROW(Source!A53)</f>
        <v>53</v>
      </c>
      <c r="B168">
        <v>45927055</v>
      </c>
      <c r="C168">
        <v>45927031</v>
      </c>
      <c r="D168">
        <v>37726005</v>
      </c>
      <c r="E168">
        <v>1</v>
      </c>
      <c r="F168">
        <v>1</v>
      </c>
      <c r="G168">
        <v>1</v>
      </c>
      <c r="H168">
        <v>3</v>
      </c>
      <c r="I168" t="s">
        <v>684</v>
      </c>
      <c r="J168" t="s">
        <v>685</v>
      </c>
      <c r="K168" t="s">
        <v>686</v>
      </c>
      <c r="L168">
        <v>1354</v>
      </c>
      <c r="N168">
        <v>1010</v>
      </c>
      <c r="O168" t="s">
        <v>133</v>
      </c>
      <c r="P168" t="s">
        <v>133</v>
      </c>
      <c r="Q168">
        <v>1</v>
      </c>
      <c r="X168">
        <v>125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G168">
        <v>125</v>
      </c>
      <c r="AH168">
        <v>3</v>
      </c>
      <c r="AI168">
        <v>-1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ROW(Source!A53)</f>
        <v>53</v>
      </c>
      <c r="B169">
        <v>45927056</v>
      </c>
      <c r="C169">
        <v>45927031</v>
      </c>
      <c r="D169">
        <v>37726007</v>
      </c>
      <c r="E169">
        <v>1</v>
      </c>
      <c r="F169">
        <v>1</v>
      </c>
      <c r="G169">
        <v>1</v>
      </c>
      <c r="H169">
        <v>3</v>
      </c>
      <c r="I169" t="s">
        <v>687</v>
      </c>
      <c r="J169" t="s">
        <v>688</v>
      </c>
      <c r="K169" t="s">
        <v>689</v>
      </c>
      <c r="L169">
        <v>1348</v>
      </c>
      <c r="N169">
        <v>1009</v>
      </c>
      <c r="O169" t="s">
        <v>406</v>
      </c>
      <c r="P169" t="s">
        <v>406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G169">
        <v>0</v>
      </c>
      <c r="AH169">
        <v>3</v>
      </c>
      <c r="AI169">
        <v>-1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ROW(Source!A53)</f>
        <v>53</v>
      </c>
      <c r="B170">
        <v>45927057</v>
      </c>
      <c r="C170">
        <v>45927031</v>
      </c>
      <c r="D170">
        <v>37725403</v>
      </c>
      <c r="E170">
        <v>1</v>
      </c>
      <c r="F170">
        <v>1</v>
      </c>
      <c r="G170">
        <v>1</v>
      </c>
      <c r="H170">
        <v>3</v>
      </c>
      <c r="I170" t="s">
        <v>622</v>
      </c>
      <c r="J170" t="s">
        <v>623</v>
      </c>
      <c r="K170" t="s">
        <v>624</v>
      </c>
      <c r="L170">
        <v>1346</v>
      </c>
      <c r="N170">
        <v>1009</v>
      </c>
      <c r="O170" t="s">
        <v>351</v>
      </c>
      <c r="P170" t="s">
        <v>351</v>
      </c>
      <c r="Q170">
        <v>1</v>
      </c>
      <c r="X170">
        <v>0.0025</v>
      </c>
      <c r="Y170">
        <v>2.15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0.0025</v>
      </c>
      <c r="AH170">
        <v>2</v>
      </c>
      <c r="AI170">
        <v>45927043</v>
      </c>
      <c r="AJ170">
        <v>171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ROW(Source!A53)</f>
        <v>53</v>
      </c>
      <c r="B171">
        <v>45927058</v>
      </c>
      <c r="C171">
        <v>45927031</v>
      </c>
      <c r="D171">
        <v>37725428</v>
      </c>
      <c r="E171">
        <v>1</v>
      </c>
      <c r="F171">
        <v>1</v>
      </c>
      <c r="G171">
        <v>1</v>
      </c>
      <c r="H171">
        <v>3</v>
      </c>
      <c r="I171" t="s">
        <v>385</v>
      </c>
      <c r="J171" t="s">
        <v>386</v>
      </c>
      <c r="K171" t="s">
        <v>387</v>
      </c>
      <c r="L171">
        <v>1339</v>
      </c>
      <c r="N171">
        <v>1007</v>
      </c>
      <c r="O171" t="s">
        <v>388</v>
      </c>
      <c r="P171" t="s">
        <v>388</v>
      </c>
      <c r="Q171">
        <v>1</v>
      </c>
      <c r="X171">
        <v>0.226</v>
      </c>
      <c r="Y171">
        <v>2.44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0.226</v>
      </c>
      <c r="AH171">
        <v>2</v>
      </c>
      <c r="AI171">
        <v>45927044</v>
      </c>
      <c r="AJ171">
        <v>172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ROW(Source!A53)</f>
        <v>53</v>
      </c>
      <c r="B172">
        <v>45927059</v>
      </c>
      <c r="C172">
        <v>45927031</v>
      </c>
      <c r="D172">
        <v>37726023</v>
      </c>
      <c r="E172">
        <v>1</v>
      </c>
      <c r="F172">
        <v>1</v>
      </c>
      <c r="G172">
        <v>1</v>
      </c>
      <c r="H172">
        <v>3</v>
      </c>
      <c r="I172" t="s">
        <v>690</v>
      </c>
      <c r="J172" t="s">
        <v>691</v>
      </c>
      <c r="K172" t="s">
        <v>692</v>
      </c>
      <c r="L172">
        <v>1302</v>
      </c>
      <c r="N172">
        <v>1003</v>
      </c>
      <c r="O172" t="s">
        <v>693</v>
      </c>
      <c r="P172" t="s">
        <v>693</v>
      </c>
      <c r="Q172">
        <v>10</v>
      </c>
      <c r="X172">
        <v>10.08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G172">
        <v>10.08</v>
      </c>
      <c r="AH172">
        <v>3</v>
      </c>
      <c r="AI172">
        <v>-1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ROW(Source!A53)</f>
        <v>53</v>
      </c>
      <c r="B173">
        <v>45927060</v>
      </c>
      <c r="C173">
        <v>45927031</v>
      </c>
      <c r="D173">
        <v>37726027</v>
      </c>
      <c r="E173">
        <v>1</v>
      </c>
      <c r="F173">
        <v>1</v>
      </c>
      <c r="G173">
        <v>1</v>
      </c>
      <c r="H173">
        <v>3</v>
      </c>
      <c r="I173" t="s">
        <v>694</v>
      </c>
      <c r="J173" t="s">
        <v>695</v>
      </c>
      <c r="K173" t="s">
        <v>696</v>
      </c>
      <c r="L173">
        <v>1354</v>
      </c>
      <c r="N173">
        <v>1010</v>
      </c>
      <c r="O173" t="s">
        <v>133</v>
      </c>
      <c r="P173" t="s">
        <v>133</v>
      </c>
      <c r="Q173">
        <v>1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1</v>
      </c>
      <c r="AD173">
        <v>0</v>
      </c>
      <c r="AE173">
        <v>0</v>
      </c>
      <c r="AG173">
        <v>0</v>
      </c>
      <c r="AH173">
        <v>3</v>
      </c>
      <c r="AI173">
        <v>-1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ROW(Source!A55)</f>
        <v>55</v>
      </c>
      <c r="B174">
        <v>45927072</v>
      </c>
      <c r="C174">
        <v>45927062</v>
      </c>
      <c r="D174">
        <v>13672078</v>
      </c>
      <c r="E174">
        <v>1</v>
      </c>
      <c r="F174">
        <v>1</v>
      </c>
      <c r="G174">
        <v>1</v>
      </c>
      <c r="H174">
        <v>1</v>
      </c>
      <c r="I174" t="s">
        <v>625</v>
      </c>
      <c r="K174" t="s">
        <v>626</v>
      </c>
      <c r="L174">
        <v>1369</v>
      </c>
      <c r="N174">
        <v>1013</v>
      </c>
      <c r="O174" t="s">
        <v>335</v>
      </c>
      <c r="P174" t="s">
        <v>335</v>
      </c>
      <c r="Q174">
        <v>1</v>
      </c>
      <c r="X174">
        <v>64.24</v>
      </c>
      <c r="Y174">
        <v>0</v>
      </c>
      <c r="Z174">
        <v>0</v>
      </c>
      <c r="AA174">
        <v>0</v>
      </c>
      <c r="AB174">
        <v>9.92</v>
      </c>
      <c r="AC174">
        <v>0</v>
      </c>
      <c r="AD174">
        <v>1</v>
      </c>
      <c r="AE174">
        <v>1</v>
      </c>
      <c r="AF174" t="s">
        <v>20</v>
      </c>
      <c r="AG174">
        <v>73.87599999999999</v>
      </c>
      <c r="AH174">
        <v>2</v>
      </c>
      <c r="AI174">
        <v>45927063</v>
      </c>
      <c r="AJ174">
        <v>173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ROW(Source!A55)</f>
        <v>55</v>
      </c>
      <c r="B175">
        <v>45927073</v>
      </c>
      <c r="C175">
        <v>45927062</v>
      </c>
      <c r="D175">
        <v>121548</v>
      </c>
      <c r="E175">
        <v>1</v>
      </c>
      <c r="F175">
        <v>1</v>
      </c>
      <c r="G175">
        <v>1</v>
      </c>
      <c r="H175">
        <v>1</v>
      </c>
      <c r="I175" t="s">
        <v>32</v>
      </c>
      <c r="K175" t="s">
        <v>336</v>
      </c>
      <c r="L175">
        <v>608254</v>
      </c>
      <c r="N175">
        <v>1013</v>
      </c>
      <c r="O175" t="s">
        <v>337</v>
      </c>
      <c r="P175" t="s">
        <v>337</v>
      </c>
      <c r="Q175">
        <v>1</v>
      </c>
      <c r="X175">
        <v>0.02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2</v>
      </c>
      <c r="AF175" t="s">
        <v>19</v>
      </c>
      <c r="AG175">
        <v>0.025</v>
      </c>
      <c r="AH175">
        <v>2</v>
      </c>
      <c r="AI175">
        <v>45927064</v>
      </c>
      <c r="AJ175">
        <v>174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ROW(Source!A55)</f>
        <v>55</v>
      </c>
      <c r="B176">
        <v>45927074</v>
      </c>
      <c r="C176">
        <v>45927062</v>
      </c>
      <c r="D176">
        <v>30682255</v>
      </c>
      <c r="E176">
        <v>1</v>
      </c>
      <c r="F176">
        <v>1</v>
      </c>
      <c r="G176">
        <v>1</v>
      </c>
      <c r="H176">
        <v>2</v>
      </c>
      <c r="I176" t="s">
        <v>391</v>
      </c>
      <c r="J176" t="s">
        <v>627</v>
      </c>
      <c r="K176" t="s">
        <v>393</v>
      </c>
      <c r="L176">
        <v>1368</v>
      </c>
      <c r="N176">
        <v>1011</v>
      </c>
      <c r="O176" t="s">
        <v>341</v>
      </c>
      <c r="P176" t="s">
        <v>341</v>
      </c>
      <c r="Q176">
        <v>1</v>
      </c>
      <c r="X176">
        <v>0.01</v>
      </c>
      <c r="Y176">
        <v>0</v>
      </c>
      <c r="Z176">
        <v>86.4</v>
      </c>
      <c r="AA176">
        <v>13.5</v>
      </c>
      <c r="AB176">
        <v>0</v>
      </c>
      <c r="AC176">
        <v>0</v>
      </c>
      <c r="AD176">
        <v>1</v>
      </c>
      <c r="AE176">
        <v>0</v>
      </c>
      <c r="AF176" t="s">
        <v>19</v>
      </c>
      <c r="AG176">
        <v>0.0125</v>
      </c>
      <c r="AH176">
        <v>2</v>
      </c>
      <c r="AI176">
        <v>45927065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ROW(Source!A55)</f>
        <v>55</v>
      </c>
      <c r="B177">
        <v>45927075</v>
      </c>
      <c r="C177">
        <v>45927062</v>
      </c>
      <c r="D177">
        <v>30682366</v>
      </c>
      <c r="E177">
        <v>1</v>
      </c>
      <c r="F177">
        <v>1</v>
      </c>
      <c r="G177">
        <v>1</v>
      </c>
      <c r="H177">
        <v>2</v>
      </c>
      <c r="I177" t="s">
        <v>394</v>
      </c>
      <c r="J177" t="s">
        <v>502</v>
      </c>
      <c r="K177" t="s">
        <v>396</v>
      </c>
      <c r="L177">
        <v>1368</v>
      </c>
      <c r="N177">
        <v>1011</v>
      </c>
      <c r="O177" t="s">
        <v>341</v>
      </c>
      <c r="P177" t="s">
        <v>341</v>
      </c>
      <c r="Q177">
        <v>1</v>
      </c>
      <c r="X177">
        <v>0.01</v>
      </c>
      <c r="Y177">
        <v>0</v>
      </c>
      <c r="Z177">
        <v>112</v>
      </c>
      <c r="AA177">
        <v>13.5</v>
      </c>
      <c r="AB177">
        <v>0</v>
      </c>
      <c r="AC177">
        <v>0</v>
      </c>
      <c r="AD177">
        <v>1</v>
      </c>
      <c r="AE177">
        <v>0</v>
      </c>
      <c r="AF177" t="s">
        <v>19</v>
      </c>
      <c r="AG177">
        <v>0.0125</v>
      </c>
      <c r="AH177">
        <v>2</v>
      </c>
      <c r="AI177">
        <v>45927066</v>
      </c>
      <c r="AJ177">
        <v>176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ROW(Source!A55)</f>
        <v>55</v>
      </c>
      <c r="B178">
        <v>45927076</v>
      </c>
      <c r="C178">
        <v>45927062</v>
      </c>
      <c r="D178">
        <v>30684901</v>
      </c>
      <c r="E178">
        <v>1</v>
      </c>
      <c r="F178">
        <v>1</v>
      </c>
      <c r="G178">
        <v>1</v>
      </c>
      <c r="H178">
        <v>2</v>
      </c>
      <c r="I178" t="s">
        <v>400</v>
      </c>
      <c r="J178" t="s">
        <v>485</v>
      </c>
      <c r="K178" t="s">
        <v>402</v>
      </c>
      <c r="L178">
        <v>1368</v>
      </c>
      <c r="N178">
        <v>1011</v>
      </c>
      <c r="O178" t="s">
        <v>341</v>
      </c>
      <c r="P178" t="s">
        <v>341</v>
      </c>
      <c r="Q178">
        <v>1</v>
      </c>
      <c r="X178">
        <v>0.01</v>
      </c>
      <c r="Y178">
        <v>0</v>
      </c>
      <c r="Z178">
        <v>87.17</v>
      </c>
      <c r="AA178">
        <v>11.6</v>
      </c>
      <c r="AB178">
        <v>0</v>
      </c>
      <c r="AC178">
        <v>0</v>
      </c>
      <c r="AD178">
        <v>1</v>
      </c>
      <c r="AE178">
        <v>0</v>
      </c>
      <c r="AF178" t="s">
        <v>19</v>
      </c>
      <c r="AG178">
        <v>0.0125</v>
      </c>
      <c r="AH178">
        <v>2</v>
      </c>
      <c r="AI178">
        <v>45927067</v>
      </c>
      <c r="AJ178">
        <v>177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ROW(Source!A55)</f>
        <v>55</v>
      </c>
      <c r="B179">
        <v>45927077</v>
      </c>
      <c r="C179">
        <v>45927062</v>
      </c>
      <c r="D179">
        <v>30620090</v>
      </c>
      <c r="E179">
        <v>1</v>
      </c>
      <c r="F179">
        <v>1</v>
      </c>
      <c r="G179">
        <v>1</v>
      </c>
      <c r="H179">
        <v>3</v>
      </c>
      <c r="I179" t="s">
        <v>628</v>
      </c>
      <c r="J179" t="s">
        <v>629</v>
      </c>
      <c r="K179" t="s">
        <v>630</v>
      </c>
      <c r="L179">
        <v>1346</v>
      </c>
      <c r="N179">
        <v>1009</v>
      </c>
      <c r="O179" t="s">
        <v>351</v>
      </c>
      <c r="P179" t="s">
        <v>351</v>
      </c>
      <c r="Q179">
        <v>1</v>
      </c>
      <c r="X179">
        <v>1.5</v>
      </c>
      <c r="Y179">
        <v>24.41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1.5</v>
      </c>
      <c r="AH179">
        <v>2</v>
      </c>
      <c r="AI179">
        <v>45927068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ROW(Source!A55)</f>
        <v>55</v>
      </c>
      <c r="B180">
        <v>45927078</v>
      </c>
      <c r="C180">
        <v>45927062</v>
      </c>
      <c r="D180">
        <v>30624227</v>
      </c>
      <c r="E180">
        <v>1</v>
      </c>
      <c r="F180">
        <v>1</v>
      </c>
      <c r="G180">
        <v>1</v>
      </c>
      <c r="H180">
        <v>3</v>
      </c>
      <c r="I180" t="s">
        <v>631</v>
      </c>
      <c r="J180" t="s">
        <v>632</v>
      </c>
      <c r="K180" t="s">
        <v>633</v>
      </c>
      <c r="L180">
        <v>1348</v>
      </c>
      <c r="N180">
        <v>1009</v>
      </c>
      <c r="O180" t="s">
        <v>406</v>
      </c>
      <c r="P180" t="s">
        <v>406</v>
      </c>
      <c r="Q180">
        <v>1000</v>
      </c>
      <c r="X180">
        <v>0.0012</v>
      </c>
      <c r="Y180">
        <v>14830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0.0012</v>
      </c>
      <c r="AH180">
        <v>2</v>
      </c>
      <c r="AI180">
        <v>45927069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ROW(Source!A55)</f>
        <v>55</v>
      </c>
      <c r="B181">
        <v>45927079</v>
      </c>
      <c r="C181">
        <v>45927062</v>
      </c>
      <c r="D181">
        <v>30649857</v>
      </c>
      <c r="E181">
        <v>1</v>
      </c>
      <c r="F181">
        <v>1</v>
      </c>
      <c r="G181">
        <v>1</v>
      </c>
      <c r="H181">
        <v>3</v>
      </c>
      <c r="I181" t="s">
        <v>697</v>
      </c>
      <c r="J181" t="s">
        <v>698</v>
      </c>
      <c r="K181" t="s">
        <v>699</v>
      </c>
      <c r="L181">
        <v>1346</v>
      </c>
      <c r="N181">
        <v>1009</v>
      </c>
      <c r="O181" t="s">
        <v>351</v>
      </c>
      <c r="P181" t="s">
        <v>351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G181">
        <v>0</v>
      </c>
      <c r="AH181">
        <v>3</v>
      </c>
      <c r="AI181">
        <v>-1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ROW(Source!A55)</f>
        <v>55</v>
      </c>
      <c r="B182">
        <v>45927080</v>
      </c>
      <c r="C182">
        <v>45927062</v>
      </c>
      <c r="D182">
        <v>30654299</v>
      </c>
      <c r="E182">
        <v>1</v>
      </c>
      <c r="F182">
        <v>1</v>
      </c>
      <c r="G182">
        <v>1</v>
      </c>
      <c r="H182">
        <v>3</v>
      </c>
      <c r="I182" t="s">
        <v>634</v>
      </c>
      <c r="J182" t="s">
        <v>635</v>
      </c>
      <c r="K182" t="s">
        <v>636</v>
      </c>
      <c r="L182">
        <v>1301</v>
      </c>
      <c r="N182">
        <v>1003</v>
      </c>
      <c r="O182" t="s">
        <v>85</v>
      </c>
      <c r="P182" t="s">
        <v>85</v>
      </c>
      <c r="Q182">
        <v>1</v>
      </c>
      <c r="X182">
        <v>99.8</v>
      </c>
      <c r="Y182">
        <v>39.36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99.8</v>
      </c>
      <c r="AH182">
        <v>2</v>
      </c>
      <c r="AI182">
        <v>45927070</v>
      </c>
      <c r="AJ182">
        <v>180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ROW(Source!A55)</f>
        <v>55</v>
      </c>
      <c r="B183">
        <v>45927081</v>
      </c>
      <c r="C183">
        <v>45927062</v>
      </c>
      <c r="D183">
        <v>30652723</v>
      </c>
      <c r="E183">
        <v>1</v>
      </c>
      <c r="F183">
        <v>1</v>
      </c>
      <c r="G183">
        <v>1</v>
      </c>
      <c r="H183">
        <v>3</v>
      </c>
      <c r="I183" t="s">
        <v>700</v>
      </c>
      <c r="J183" t="s">
        <v>701</v>
      </c>
      <c r="K183" t="s">
        <v>702</v>
      </c>
      <c r="L183">
        <v>1354</v>
      </c>
      <c r="N183">
        <v>1010</v>
      </c>
      <c r="O183" t="s">
        <v>133</v>
      </c>
      <c r="P183" t="s">
        <v>133</v>
      </c>
      <c r="Q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G183">
        <v>0</v>
      </c>
      <c r="AH183">
        <v>3</v>
      </c>
      <c r="AI183">
        <v>-1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ROW(Source!A55)</f>
        <v>55</v>
      </c>
      <c r="B184">
        <v>45927082</v>
      </c>
      <c r="C184">
        <v>45927062</v>
      </c>
      <c r="D184">
        <v>30660027</v>
      </c>
      <c r="E184">
        <v>1</v>
      </c>
      <c r="F184">
        <v>1</v>
      </c>
      <c r="G184">
        <v>1</v>
      </c>
      <c r="H184">
        <v>3</v>
      </c>
      <c r="I184" t="s">
        <v>385</v>
      </c>
      <c r="J184" t="s">
        <v>458</v>
      </c>
      <c r="K184" t="s">
        <v>387</v>
      </c>
      <c r="L184">
        <v>1339</v>
      </c>
      <c r="N184">
        <v>1007</v>
      </c>
      <c r="O184" t="s">
        <v>388</v>
      </c>
      <c r="P184" t="s">
        <v>388</v>
      </c>
      <c r="Q184">
        <v>1</v>
      </c>
      <c r="X184">
        <v>0.39</v>
      </c>
      <c r="Y184">
        <v>2.44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0.39</v>
      </c>
      <c r="AH184">
        <v>2</v>
      </c>
      <c r="AI184">
        <v>45927071</v>
      </c>
      <c r="AJ184">
        <v>181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ROW(Source!A56)</f>
        <v>56</v>
      </c>
      <c r="B185">
        <v>45927092</v>
      </c>
      <c r="C185">
        <v>45927083</v>
      </c>
      <c r="D185">
        <v>13668301</v>
      </c>
      <c r="E185">
        <v>1</v>
      </c>
      <c r="F185">
        <v>1</v>
      </c>
      <c r="G185">
        <v>1</v>
      </c>
      <c r="H185">
        <v>1</v>
      </c>
      <c r="I185" t="s">
        <v>637</v>
      </c>
      <c r="K185" t="s">
        <v>638</v>
      </c>
      <c r="L185">
        <v>1369</v>
      </c>
      <c r="N185">
        <v>1013</v>
      </c>
      <c r="O185" t="s">
        <v>335</v>
      </c>
      <c r="P185" t="s">
        <v>335</v>
      </c>
      <c r="Q185">
        <v>1</v>
      </c>
      <c r="X185">
        <v>1.47</v>
      </c>
      <c r="Y185">
        <v>0</v>
      </c>
      <c r="Z185">
        <v>0</v>
      </c>
      <c r="AA185">
        <v>0</v>
      </c>
      <c r="AB185">
        <v>9.07</v>
      </c>
      <c r="AC185">
        <v>0</v>
      </c>
      <c r="AD185">
        <v>1</v>
      </c>
      <c r="AE185">
        <v>1</v>
      </c>
      <c r="AF185" t="s">
        <v>20</v>
      </c>
      <c r="AG185">
        <v>1.6905</v>
      </c>
      <c r="AH185">
        <v>2</v>
      </c>
      <c r="AI185">
        <v>45927084</v>
      </c>
      <c r="AJ185">
        <v>182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ROW(Source!A56)</f>
        <v>56</v>
      </c>
      <c r="B186">
        <v>45927093</v>
      </c>
      <c r="C186">
        <v>45927083</v>
      </c>
      <c r="D186">
        <v>30682644</v>
      </c>
      <c r="E186">
        <v>1</v>
      </c>
      <c r="F186">
        <v>1</v>
      </c>
      <c r="G186">
        <v>1</v>
      </c>
      <c r="H186">
        <v>2</v>
      </c>
      <c r="I186" t="s">
        <v>517</v>
      </c>
      <c r="J186" t="s">
        <v>518</v>
      </c>
      <c r="K186" t="s">
        <v>519</v>
      </c>
      <c r="L186">
        <v>1368</v>
      </c>
      <c r="N186">
        <v>1011</v>
      </c>
      <c r="O186" t="s">
        <v>341</v>
      </c>
      <c r="P186" t="s">
        <v>341</v>
      </c>
      <c r="Q186">
        <v>1</v>
      </c>
      <c r="X186">
        <v>0.35</v>
      </c>
      <c r="Y186">
        <v>0</v>
      </c>
      <c r="Z186">
        <v>8.1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19</v>
      </c>
      <c r="AG186">
        <v>0.4375</v>
      </c>
      <c r="AH186">
        <v>2</v>
      </c>
      <c r="AI186">
        <v>45927085</v>
      </c>
      <c r="AJ186">
        <v>183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ROW(Source!A56)</f>
        <v>56</v>
      </c>
      <c r="B187">
        <v>45927094</v>
      </c>
      <c r="C187">
        <v>45927083</v>
      </c>
      <c r="D187">
        <v>30684901</v>
      </c>
      <c r="E187">
        <v>1</v>
      </c>
      <c r="F187">
        <v>1</v>
      </c>
      <c r="G187">
        <v>1</v>
      </c>
      <c r="H187">
        <v>2</v>
      </c>
      <c r="I187" t="s">
        <v>400</v>
      </c>
      <c r="J187" t="s">
        <v>485</v>
      </c>
      <c r="K187" t="s">
        <v>402</v>
      </c>
      <c r="L187">
        <v>1368</v>
      </c>
      <c r="N187">
        <v>1011</v>
      </c>
      <c r="O187" t="s">
        <v>341</v>
      </c>
      <c r="P187" t="s">
        <v>341</v>
      </c>
      <c r="Q187">
        <v>1</v>
      </c>
      <c r="X187">
        <v>0.01</v>
      </c>
      <c r="Y187">
        <v>0</v>
      </c>
      <c r="Z187">
        <v>87.17</v>
      </c>
      <c r="AA187">
        <v>11.6</v>
      </c>
      <c r="AB187">
        <v>0</v>
      </c>
      <c r="AC187">
        <v>0</v>
      </c>
      <c r="AD187">
        <v>1</v>
      </c>
      <c r="AE187">
        <v>0</v>
      </c>
      <c r="AF187" t="s">
        <v>19</v>
      </c>
      <c r="AG187">
        <v>0.0125</v>
      </c>
      <c r="AH187">
        <v>2</v>
      </c>
      <c r="AI187">
        <v>45927086</v>
      </c>
      <c r="AJ187">
        <v>184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ROW(Source!A56)</f>
        <v>56</v>
      </c>
      <c r="B188">
        <v>45927095</v>
      </c>
      <c r="C188">
        <v>45927083</v>
      </c>
      <c r="D188">
        <v>30623973</v>
      </c>
      <c r="E188">
        <v>1</v>
      </c>
      <c r="F188">
        <v>1</v>
      </c>
      <c r="G188">
        <v>1</v>
      </c>
      <c r="H188">
        <v>3</v>
      </c>
      <c r="I188" t="s">
        <v>520</v>
      </c>
      <c r="J188" t="s">
        <v>521</v>
      </c>
      <c r="K188" t="s">
        <v>522</v>
      </c>
      <c r="L188">
        <v>1348</v>
      </c>
      <c r="N188">
        <v>1009</v>
      </c>
      <c r="O188" t="s">
        <v>406</v>
      </c>
      <c r="P188" t="s">
        <v>406</v>
      </c>
      <c r="Q188">
        <v>1000</v>
      </c>
      <c r="X188">
        <v>0.00014</v>
      </c>
      <c r="Y188">
        <v>10362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G188">
        <v>0.00014</v>
      </c>
      <c r="AH188">
        <v>2</v>
      </c>
      <c r="AI188">
        <v>45927087</v>
      </c>
      <c r="AJ188">
        <v>185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ROW(Source!A56)</f>
        <v>56</v>
      </c>
      <c r="B189">
        <v>45927096</v>
      </c>
      <c r="C189">
        <v>45927083</v>
      </c>
      <c r="D189">
        <v>30624226</v>
      </c>
      <c r="E189">
        <v>1</v>
      </c>
      <c r="F189">
        <v>1</v>
      </c>
      <c r="G189">
        <v>1</v>
      </c>
      <c r="H189">
        <v>3</v>
      </c>
      <c r="I189" t="s">
        <v>639</v>
      </c>
      <c r="J189" t="s">
        <v>640</v>
      </c>
      <c r="K189" t="s">
        <v>641</v>
      </c>
      <c r="L189">
        <v>1348</v>
      </c>
      <c r="N189">
        <v>1009</v>
      </c>
      <c r="O189" t="s">
        <v>406</v>
      </c>
      <c r="P189" t="s">
        <v>406</v>
      </c>
      <c r="Q189">
        <v>1000</v>
      </c>
      <c r="X189">
        <v>0.0011</v>
      </c>
      <c r="Y189">
        <v>15323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G189">
        <v>0.0011</v>
      </c>
      <c r="AH189">
        <v>2</v>
      </c>
      <c r="AI189">
        <v>45927088</v>
      </c>
      <c r="AJ189">
        <v>186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ROW(Source!A56)</f>
        <v>56</v>
      </c>
      <c r="B190">
        <v>45927097</v>
      </c>
      <c r="C190">
        <v>45927083</v>
      </c>
      <c r="D190">
        <v>30654257</v>
      </c>
      <c r="E190">
        <v>1</v>
      </c>
      <c r="F190">
        <v>1</v>
      </c>
      <c r="G190">
        <v>1</v>
      </c>
      <c r="H190">
        <v>3</v>
      </c>
      <c r="I190" t="s">
        <v>703</v>
      </c>
      <c r="J190" t="s">
        <v>704</v>
      </c>
      <c r="K190" t="s">
        <v>705</v>
      </c>
      <c r="L190">
        <v>1354</v>
      </c>
      <c r="N190">
        <v>1010</v>
      </c>
      <c r="O190" t="s">
        <v>133</v>
      </c>
      <c r="P190" t="s">
        <v>133</v>
      </c>
      <c r="Q190">
        <v>1</v>
      </c>
      <c r="X190">
        <v>1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G190">
        <v>1</v>
      </c>
      <c r="AH190">
        <v>3</v>
      </c>
      <c r="AI190">
        <v>-1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ROW(Source!A56)</f>
        <v>56</v>
      </c>
      <c r="B191">
        <v>45927098</v>
      </c>
      <c r="C191">
        <v>45927083</v>
      </c>
      <c r="D191">
        <v>30670590</v>
      </c>
      <c r="E191">
        <v>1</v>
      </c>
      <c r="F191">
        <v>1</v>
      </c>
      <c r="G191">
        <v>1</v>
      </c>
      <c r="H191">
        <v>3</v>
      </c>
      <c r="I191" t="s">
        <v>184</v>
      </c>
      <c r="J191" t="s">
        <v>186</v>
      </c>
      <c r="K191" t="s">
        <v>185</v>
      </c>
      <c r="L191">
        <v>1354</v>
      </c>
      <c r="N191">
        <v>1010</v>
      </c>
      <c r="O191" t="s">
        <v>133</v>
      </c>
      <c r="P191" t="s">
        <v>133</v>
      </c>
      <c r="Q191">
        <v>1</v>
      </c>
      <c r="X191">
        <v>2</v>
      </c>
      <c r="Y191">
        <v>16.8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2</v>
      </c>
      <c r="AH191">
        <v>2</v>
      </c>
      <c r="AI191">
        <v>45927090</v>
      </c>
      <c r="AJ191">
        <v>188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ROW(Source!A56)</f>
        <v>56</v>
      </c>
      <c r="B192">
        <v>45927099</v>
      </c>
      <c r="C192">
        <v>45927083</v>
      </c>
      <c r="D192">
        <v>30681622</v>
      </c>
      <c r="E192">
        <v>1</v>
      </c>
      <c r="F192">
        <v>1</v>
      </c>
      <c r="G192">
        <v>1</v>
      </c>
      <c r="H192">
        <v>3</v>
      </c>
      <c r="I192" t="s">
        <v>642</v>
      </c>
      <c r="J192" t="s">
        <v>643</v>
      </c>
      <c r="K192" t="s">
        <v>644</v>
      </c>
      <c r="L192">
        <v>1356</v>
      </c>
      <c r="N192">
        <v>1010</v>
      </c>
      <c r="O192" t="s">
        <v>566</v>
      </c>
      <c r="P192" t="s">
        <v>566</v>
      </c>
      <c r="Q192">
        <v>1000</v>
      </c>
      <c r="X192">
        <v>0.002</v>
      </c>
      <c r="Y192">
        <v>3450.01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0.002</v>
      </c>
      <c r="AH192">
        <v>2</v>
      </c>
      <c r="AI192">
        <v>45927091</v>
      </c>
      <c r="AJ192">
        <v>189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ROW(Source!A59)</f>
        <v>59</v>
      </c>
      <c r="B193">
        <v>45930109</v>
      </c>
      <c r="C193">
        <v>45930108</v>
      </c>
      <c r="D193">
        <v>37728580</v>
      </c>
      <c r="E193">
        <v>1</v>
      </c>
      <c r="F193">
        <v>1</v>
      </c>
      <c r="G193">
        <v>1</v>
      </c>
      <c r="H193">
        <v>1</v>
      </c>
      <c r="I193" t="s">
        <v>645</v>
      </c>
      <c r="K193" t="s">
        <v>646</v>
      </c>
      <c r="L193">
        <v>1369</v>
      </c>
      <c r="N193">
        <v>1013</v>
      </c>
      <c r="O193" t="s">
        <v>335</v>
      </c>
      <c r="P193" t="s">
        <v>335</v>
      </c>
      <c r="Q193">
        <v>1</v>
      </c>
      <c r="X193">
        <v>0.87</v>
      </c>
      <c r="Y193">
        <v>0</v>
      </c>
      <c r="Z193">
        <v>0</v>
      </c>
      <c r="AA193">
        <v>0</v>
      </c>
      <c r="AB193">
        <v>8.53</v>
      </c>
      <c r="AC193">
        <v>0</v>
      </c>
      <c r="AD193">
        <v>1</v>
      </c>
      <c r="AE193">
        <v>1</v>
      </c>
      <c r="AF193" t="s">
        <v>20</v>
      </c>
      <c r="AG193">
        <v>1.0005</v>
      </c>
      <c r="AH193">
        <v>2</v>
      </c>
      <c r="AI193">
        <v>45930109</v>
      </c>
      <c r="AJ193">
        <v>190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ROW(Source!A59)</f>
        <v>59</v>
      </c>
      <c r="B194">
        <v>45930110</v>
      </c>
      <c r="C194">
        <v>45930108</v>
      </c>
      <c r="D194">
        <v>37726363</v>
      </c>
      <c r="E194">
        <v>1</v>
      </c>
      <c r="F194">
        <v>1</v>
      </c>
      <c r="G194">
        <v>1</v>
      </c>
      <c r="H194">
        <v>2</v>
      </c>
      <c r="I194" t="s">
        <v>496</v>
      </c>
      <c r="J194" t="s">
        <v>647</v>
      </c>
      <c r="K194" t="s">
        <v>498</v>
      </c>
      <c r="L194">
        <v>1368</v>
      </c>
      <c r="N194">
        <v>1011</v>
      </c>
      <c r="O194" t="s">
        <v>341</v>
      </c>
      <c r="P194" t="s">
        <v>341</v>
      </c>
      <c r="Q194">
        <v>1</v>
      </c>
      <c r="X194">
        <v>0.04</v>
      </c>
      <c r="Y194">
        <v>0</v>
      </c>
      <c r="Z194">
        <v>1.95</v>
      </c>
      <c r="AA194">
        <v>0</v>
      </c>
      <c r="AB194">
        <v>0</v>
      </c>
      <c r="AC194">
        <v>0</v>
      </c>
      <c r="AD194">
        <v>1</v>
      </c>
      <c r="AE194">
        <v>0</v>
      </c>
      <c r="AF194" t="s">
        <v>19</v>
      </c>
      <c r="AG194">
        <v>0.05</v>
      </c>
      <c r="AH194">
        <v>2</v>
      </c>
      <c r="AI194">
        <v>45930110</v>
      </c>
      <c r="AJ194">
        <v>191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ROW(Source!A59)</f>
        <v>59</v>
      </c>
      <c r="B195">
        <v>45930111</v>
      </c>
      <c r="C195">
        <v>45930108</v>
      </c>
      <c r="D195">
        <v>37724602</v>
      </c>
      <c r="E195">
        <v>1</v>
      </c>
      <c r="F195">
        <v>1</v>
      </c>
      <c r="G195">
        <v>1</v>
      </c>
      <c r="H195">
        <v>3</v>
      </c>
      <c r="I195" t="s">
        <v>648</v>
      </c>
      <c r="J195" t="s">
        <v>649</v>
      </c>
      <c r="K195" t="s">
        <v>650</v>
      </c>
      <c r="L195">
        <v>1346</v>
      </c>
      <c r="N195">
        <v>1009</v>
      </c>
      <c r="O195" t="s">
        <v>351</v>
      </c>
      <c r="P195" t="s">
        <v>351</v>
      </c>
      <c r="Q195">
        <v>1</v>
      </c>
      <c r="X195">
        <v>0.002</v>
      </c>
      <c r="Y195">
        <v>445.32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0.002</v>
      </c>
      <c r="AH195">
        <v>2</v>
      </c>
      <c r="AI195">
        <v>45930111</v>
      </c>
      <c r="AJ195">
        <v>192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ROW(Source!A59)</f>
        <v>59</v>
      </c>
      <c r="B196">
        <v>45930112</v>
      </c>
      <c r="C196">
        <v>45930108</v>
      </c>
      <c r="D196">
        <v>37726002</v>
      </c>
      <c r="E196">
        <v>1</v>
      </c>
      <c r="F196">
        <v>1</v>
      </c>
      <c r="G196">
        <v>1</v>
      </c>
      <c r="H196">
        <v>3</v>
      </c>
      <c r="I196" t="s">
        <v>706</v>
      </c>
      <c r="J196" t="s">
        <v>202</v>
      </c>
      <c r="K196" t="s">
        <v>707</v>
      </c>
      <c r="L196">
        <v>1035</v>
      </c>
      <c r="N196">
        <v>1013</v>
      </c>
      <c r="O196" t="s">
        <v>44</v>
      </c>
      <c r="P196" t="s">
        <v>44</v>
      </c>
      <c r="Q196">
        <v>1</v>
      </c>
      <c r="X196">
        <v>1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G196">
        <v>1</v>
      </c>
      <c r="AH196">
        <v>3</v>
      </c>
      <c r="AI196">
        <v>-1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ROW(Source!A59)</f>
        <v>59</v>
      </c>
      <c r="B197">
        <v>45930113</v>
      </c>
      <c r="C197">
        <v>45930108</v>
      </c>
      <c r="D197">
        <v>37726024</v>
      </c>
      <c r="E197">
        <v>1</v>
      </c>
      <c r="F197">
        <v>1</v>
      </c>
      <c r="G197">
        <v>1</v>
      </c>
      <c r="H197">
        <v>3</v>
      </c>
      <c r="I197" t="s">
        <v>708</v>
      </c>
      <c r="J197" t="s">
        <v>709</v>
      </c>
      <c r="K197" t="s">
        <v>710</v>
      </c>
      <c r="L197">
        <v>7577558</v>
      </c>
      <c r="N197">
        <v>1013</v>
      </c>
      <c r="O197" t="s">
        <v>163</v>
      </c>
      <c r="P197" t="s">
        <v>85</v>
      </c>
      <c r="Q197">
        <v>1</v>
      </c>
      <c r="X197">
        <v>1.5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G197">
        <v>1.5</v>
      </c>
      <c r="AH197">
        <v>3</v>
      </c>
      <c r="AI197">
        <v>-1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ROW(Source!A62)</f>
        <v>62</v>
      </c>
      <c r="B198">
        <v>45927137</v>
      </c>
      <c r="C198">
        <v>45927126</v>
      </c>
      <c r="D198">
        <v>30874667</v>
      </c>
      <c r="E198">
        <v>1</v>
      </c>
      <c r="F198">
        <v>1</v>
      </c>
      <c r="G198">
        <v>1</v>
      </c>
      <c r="H198">
        <v>1</v>
      </c>
      <c r="I198" t="s">
        <v>651</v>
      </c>
      <c r="K198" t="s">
        <v>652</v>
      </c>
      <c r="L198">
        <v>1369</v>
      </c>
      <c r="N198">
        <v>1013</v>
      </c>
      <c r="O198" t="s">
        <v>335</v>
      </c>
      <c r="P198" t="s">
        <v>335</v>
      </c>
      <c r="Q198">
        <v>1</v>
      </c>
      <c r="X198">
        <v>70.64</v>
      </c>
      <c r="Y198">
        <v>0</v>
      </c>
      <c r="Z198">
        <v>0</v>
      </c>
      <c r="AA198">
        <v>0</v>
      </c>
      <c r="AB198">
        <v>9.92</v>
      </c>
      <c r="AC198">
        <v>0</v>
      </c>
      <c r="AD198">
        <v>1</v>
      </c>
      <c r="AE198">
        <v>1</v>
      </c>
      <c r="AG198">
        <v>70.64</v>
      </c>
      <c r="AH198">
        <v>2</v>
      </c>
      <c r="AI198">
        <v>45927127</v>
      </c>
      <c r="AJ198">
        <v>195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ROW(Source!A62)</f>
        <v>62</v>
      </c>
      <c r="B199">
        <v>45927138</v>
      </c>
      <c r="C199">
        <v>45927126</v>
      </c>
      <c r="D199">
        <v>121548</v>
      </c>
      <c r="E199">
        <v>1</v>
      </c>
      <c r="F199">
        <v>1</v>
      </c>
      <c r="G199">
        <v>1</v>
      </c>
      <c r="H199">
        <v>1</v>
      </c>
      <c r="I199" t="s">
        <v>32</v>
      </c>
      <c r="K199" t="s">
        <v>336</v>
      </c>
      <c r="L199">
        <v>608254</v>
      </c>
      <c r="N199">
        <v>1013</v>
      </c>
      <c r="O199" t="s">
        <v>337</v>
      </c>
      <c r="P199" t="s">
        <v>337</v>
      </c>
      <c r="Q199">
        <v>1</v>
      </c>
      <c r="X199">
        <v>0.88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2</v>
      </c>
      <c r="AG199">
        <v>0.88</v>
      </c>
      <c r="AH199">
        <v>2</v>
      </c>
      <c r="AI199">
        <v>45927128</v>
      </c>
      <c r="AJ199">
        <v>196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ROW(Source!A62)</f>
        <v>62</v>
      </c>
      <c r="B200">
        <v>45927139</v>
      </c>
      <c r="C200">
        <v>45927126</v>
      </c>
      <c r="D200">
        <v>30682349</v>
      </c>
      <c r="E200">
        <v>1</v>
      </c>
      <c r="F200">
        <v>1</v>
      </c>
      <c r="G200">
        <v>1</v>
      </c>
      <c r="H200">
        <v>2</v>
      </c>
      <c r="I200" t="s">
        <v>653</v>
      </c>
      <c r="J200" t="s">
        <v>654</v>
      </c>
      <c r="K200" t="s">
        <v>655</v>
      </c>
      <c r="L200">
        <v>1368</v>
      </c>
      <c r="N200">
        <v>1011</v>
      </c>
      <c r="O200" t="s">
        <v>341</v>
      </c>
      <c r="P200" t="s">
        <v>341</v>
      </c>
      <c r="Q200">
        <v>1</v>
      </c>
      <c r="X200">
        <v>0.88</v>
      </c>
      <c r="Y200">
        <v>0</v>
      </c>
      <c r="Z200">
        <v>134.65</v>
      </c>
      <c r="AA200">
        <v>13.5</v>
      </c>
      <c r="AB200">
        <v>0</v>
      </c>
      <c r="AC200">
        <v>0</v>
      </c>
      <c r="AD200">
        <v>1</v>
      </c>
      <c r="AE200">
        <v>0</v>
      </c>
      <c r="AG200">
        <v>0.88</v>
      </c>
      <c r="AH200">
        <v>2</v>
      </c>
      <c r="AI200">
        <v>45927129</v>
      </c>
      <c r="AJ200">
        <v>197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ROW(Source!A62)</f>
        <v>62</v>
      </c>
      <c r="B201">
        <v>45927140</v>
      </c>
      <c r="C201">
        <v>45927126</v>
      </c>
      <c r="D201">
        <v>30684488</v>
      </c>
      <c r="E201">
        <v>1</v>
      </c>
      <c r="F201">
        <v>1</v>
      </c>
      <c r="G201">
        <v>1</v>
      </c>
      <c r="H201">
        <v>2</v>
      </c>
      <c r="I201" t="s">
        <v>496</v>
      </c>
      <c r="J201" t="s">
        <v>497</v>
      </c>
      <c r="K201" t="s">
        <v>498</v>
      </c>
      <c r="L201">
        <v>1368</v>
      </c>
      <c r="N201">
        <v>1011</v>
      </c>
      <c r="O201" t="s">
        <v>341</v>
      </c>
      <c r="P201" t="s">
        <v>341</v>
      </c>
      <c r="Q201">
        <v>1</v>
      </c>
      <c r="X201">
        <v>16.38</v>
      </c>
      <c r="Y201">
        <v>0</v>
      </c>
      <c r="Z201">
        <v>1.95</v>
      </c>
      <c r="AA201">
        <v>0</v>
      </c>
      <c r="AB201">
        <v>0</v>
      </c>
      <c r="AC201">
        <v>0</v>
      </c>
      <c r="AD201">
        <v>1</v>
      </c>
      <c r="AE201">
        <v>0</v>
      </c>
      <c r="AG201">
        <v>16.38</v>
      </c>
      <c r="AH201">
        <v>2</v>
      </c>
      <c r="AI201">
        <v>45927130</v>
      </c>
      <c r="AJ201">
        <v>198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ROW(Source!A62)</f>
        <v>62</v>
      </c>
      <c r="B202">
        <v>45927141</v>
      </c>
      <c r="C202">
        <v>45927126</v>
      </c>
      <c r="D202">
        <v>30684901</v>
      </c>
      <c r="E202">
        <v>1</v>
      </c>
      <c r="F202">
        <v>1</v>
      </c>
      <c r="G202">
        <v>1</v>
      </c>
      <c r="H202">
        <v>2</v>
      </c>
      <c r="I202" t="s">
        <v>400</v>
      </c>
      <c r="J202" t="s">
        <v>485</v>
      </c>
      <c r="K202" t="s">
        <v>402</v>
      </c>
      <c r="L202">
        <v>1368</v>
      </c>
      <c r="N202">
        <v>1011</v>
      </c>
      <c r="O202" t="s">
        <v>341</v>
      </c>
      <c r="P202" t="s">
        <v>341</v>
      </c>
      <c r="Q202">
        <v>1</v>
      </c>
      <c r="X202">
        <v>0.87</v>
      </c>
      <c r="Y202">
        <v>0</v>
      </c>
      <c r="Z202">
        <v>87.17</v>
      </c>
      <c r="AA202">
        <v>11.6</v>
      </c>
      <c r="AB202">
        <v>0</v>
      </c>
      <c r="AC202">
        <v>0</v>
      </c>
      <c r="AD202">
        <v>1</v>
      </c>
      <c r="AE202">
        <v>0</v>
      </c>
      <c r="AG202">
        <v>0.87</v>
      </c>
      <c r="AH202">
        <v>2</v>
      </c>
      <c r="AI202">
        <v>45927131</v>
      </c>
      <c r="AJ202">
        <v>199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ROW(Source!A62)</f>
        <v>62</v>
      </c>
      <c r="B203">
        <v>45927142</v>
      </c>
      <c r="C203">
        <v>45927126</v>
      </c>
      <c r="D203">
        <v>30624256</v>
      </c>
      <c r="E203">
        <v>1</v>
      </c>
      <c r="F203">
        <v>1</v>
      </c>
      <c r="G203">
        <v>1</v>
      </c>
      <c r="H203">
        <v>3</v>
      </c>
      <c r="I203" t="s">
        <v>656</v>
      </c>
      <c r="J203" t="s">
        <v>657</v>
      </c>
      <c r="K203" t="s">
        <v>658</v>
      </c>
      <c r="L203">
        <v>1348</v>
      </c>
      <c r="N203">
        <v>1009</v>
      </c>
      <c r="O203" t="s">
        <v>406</v>
      </c>
      <c r="P203" t="s">
        <v>406</v>
      </c>
      <c r="Q203">
        <v>1000</v>
      </c>
      <c r="X203">
        <v>0.00306</v>
      </c>
      <c r="Y203">
        <v>12429.99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G203">
        <v>0.00306</v>
      </c>
      <c r="AH203">
        <v>2</v>
      </c>
      <c r="AI203">
        <v>45927132</v>
      </c>
      <c r="AJ203">
        <v>200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ROW(Source!A62)</f>
        <v>62</v>
      </c>
      <c r="B204">
        <v>45927143</v>
      </c>
      <c r="C204">
        <v>45927126</v>
      </c>
      <c r="D204">
        <v>30620825</v>
      </c>
      <c r="E204">
        <v>1</v>
      </c>
      <c r="F204">
        <v>1</v>
      </c>
      <c r="G204">
        <v>1</v>
      </c>
      <c r="H204">
        <v>3</v>
      </c>
      <c r="I204" t="s">
        <v>659</v>
      </c>
      <c r="J204" t="s">
        <v>660</v>
      </c>
      <c r="K204" t="s">
        <v>661</v>
      </c>
      <c r="L204">
        <v>1346</v>
      </c>
      <c r="N204">
        <v>1009</v>
      </c>
      <c r="O204" t="s">
        <v>351</v>
      </c>
      <c r="P204" t="s">
        <v>351</v>
      </c>
      <c r="Q204">
        <v>1</v>
      </c>
      <c r="X204">
        <v>0.31</v>
      </c>
      <c r="Y204">
        <v>30.5</v>
      </c>
      <c r="Z204">
        <v>0</v>
      </c>
      <c r="AA204">
        <v>0</v>
      </c>
      <c r="AB204">
        <v>0</v>
      </c>
      <c r="AC204">
        <v>0</v>
      </c>
      <c r="AD204">
        <v>1</v>
      </c>
      <c r="AE204">
        <v>0</v>
      </c>
      <c r="AG204">
        <v>0.31</v>
      </c>
      <c r="AH204">
        <v>2</v>
      </c>
      <c r="AI204">
        <v>45927133</v>
      </c>
      <c r="AJ204">
        <v>201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ROW(Source!A62)</f>
        <v>62</v>
      </c>
      <c r="B205">
        <v>45927144</v>
      </c>
      <c r="C205">
        <v>45927126</v>
      </c>
      <c r="D205">
        <v>30624457</v>
      </c>
      <c r="E205">
        <v>1</v>
      </c>
      <c r="F205">
        <v>1</v>
      </c>
      <c r="G205">
        <v>1</v>
      </c>
      <c r="H205">
        <v>3</v>
      </c>
      <c r="I205" t="s">
        <v>662</v>
      </c>
      <c r="J205" t="s">
        <v>663</v>
      </c>
      <c r="K205" t="s">
        <v>664</v>
      </c>
      <c r="L205">
        <v>1355</v>
      </c>
      <c r="N205">
        <v>1010</v>
      </c>
      <c r="O205" t="s">
        <v>206</v>
      </c>
      <c r="P205" t="s">
        <v>206</v>
      </c>
      <c r="Q205">
        <v>100</v>
      </c>
      <c r="X205">
        <v>4.08</v>
      </c>
      <c r="Y205">
        <v>86.24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4.08</v>
      </c>
      <c r="AH205">
        <v>2</v>
      </c>
      <c r="AI205">
        <v>45927134</v>
      </c>
      <c r="AJ205">
        <v>202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ROW(Source!A62)</f>
        <v>62</v>
      </c>
      <c r="B206">
        <v>45927145</v>
      </c>
      <c r="C206">
        <v>45927126</v>
      </c>
      <c r="D206">
        <v>30674098</v>
      </c>
      <c r="E206">
        <v>1</v>
      </c>
      <c r="F206">
        <v>1</v>
      </c>
      <c r="G206">
        <v>1</v>
      </c>
      <c r="H206">
        <v>3</v>
      </c>
      <c r="I206" t="s">
        <v>665</v>
      </c>
      <c r="J206" t="s">
        <v>666</v>
      </c>
      <c r="K206" t="s">
        <v>667</v>
      </c>
      <c r="L206">
        <v>1355</v>
      </c>
      <c r="N206">
        <v>1010</v>
      </c>
      <c r="O206" t="s">
        <v>206</v>
      </c>
      <c r="P206" t="s">
        <v>206</v>
      </c>
      <c r="Q206">
        <v>100</v>
      </c>
      <c r="X206">
        <v>1.02</v>
      </c>
      <c r="Y206">
        <v>100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1.02</v>
      </c>
      <c r="AH206">
        <v>2</v>
      </c>
      <c r="AI206">
        <v>45927135</v>
      </c>
      <c r="AJ206">
        <v>203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ROW(Source!A62)</f>
        <v>62</v>
      </c>
      <c r="B207">
        <v>45927146</v>
      </c>
      <c r="C207">
        <v>45927126</v>
      </c>
      <c r="D207">
        <v>30681795</v>
      </c>
      <c r="E207">
        <v>1</v>
      </c>
      <c r="F207">
        <v>1</v>
      </c>
      <c r="G207">
        <v>1</v>
      </c>
      <c r="H207">
        <v>3</v>
      </c>
      <c r="I207" t="s">
        <v>668</v>
      </c>
      <c r="J207" t="s">
        <v>669</v>
      </c>
      <c r="K207" t="s">
        <v>670</v>
      </c>
      <c r="L207">
        <v>1374</v>
      </c>
      <c r="N207">
        <v>1013</v>
      </c>
      <c r="O207" t="s">
        <v>671</v>
      </c>
      <c r="P207" t="s">
        <v>671</v>
      </c>
      <c r="Q207">
        <v>1</v>
      </c>
      <c r="X207">
        <v>14.01</v>
      </c>
      <c r="Y207">
        <v>1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14.01</v>
      </c>
      <c r="AH207">
        <v>2</v>
      </c>
      <c r="AI207">
        <v>45927136</v>
      </c>
      <c r="AJ207">
        <v>204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332</cp:lastModifiedBy>
  <cp:lastPrinted>2020-09-21T14:45:35Z</cp:lastPrinted>
  <dcterms:modified xsi:type="dcterms:W3CDTF">2020-09-21T14:46:14Z</dcterms:modified>
  <cp:category/>
  <cp:version/>
  <cp:contentType/>
  <cp:contentStatus/>
</cp:coreProperties>
</file>