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88" windowHeight="1152" activeTab="1"/>
  </bookViews>
  <sheets>
    <sheet name="ССР" sheetId="6" r:id="rId1"/>
    <sheet name="Смета 12 гр. по ФЕР" sheetId="5" r:id="rId2"/>
    <sheet name="Source" sheetId="1" r:id="rId3"/>
    <sheet name="SourceObSm" sheetId="2" r:id="rId4"/>
    <sheet name="SmtRes" sheetId="3" r:id="rId5"/>
    <sheet name="EtalonRes" sheetId="4" r:id="rId6"/>
  </sheets>
  <externalReferences>
    <externalReference r:id="rId7"/>
  </externalReferences>
  <definedNames>
    <definedName name="_xlnm.Print_Titles" localSheetId="1">'Смета 12 гр. по ФЕР'!$22:$22</definedName>
    <definedName name="_xlnm.Print_Area" localSheetId="1">'Смета 12 гр. по ФЕР'!$A$1:$L$112</definedName>
    <definedName name="_xlnm.Print_Area" localSheetId="0">ССР!$A$1:$M$30</definedName>
  </definedNames>
  <calcPr calcId="125725" fullCalcOnLoad="1"/>
</workbook>
</file>

<file path=xl/calcChain.xml><?xml version="1.0" encoding="utf-8"?>
<calcChain xmlns="http://schemas.openxmlformats.org/spreadsheetml/2006/main">
  <c r="H97" i="5"/>
  <c r="H100" s="1"/>
  <c r="M16" i="6"/>
  <c r="L16"/>
  <c r="K16"/>
  <c r="J16"/>
  <c r="I15"/>
  <c r="E2"/>
  <c r="AH60" i="1"/>
  <c r="AF60"/>
  <c r="AF59"/>
  <c r="AH59"/>
  <c r="A1" i="4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1" i="3"/>
  <c r="CX1"/>
  <c r="CY1"/>
  <c r="CZ1"/>
  <c r="DA1"/>
  <c r="DB1"/>
  <c r="DC1"/>
  <c r="A2"/>
  <c r="CX2"/>
  <c r="CY2"/>
  <c r="CZ2"/>
  <c r="DA2"/>
  <c r="DB2"/>
  <c r="DC2"/>
  <c r="A3"/>
  <c r="CX3"/>
  <c r="CY3"/>
  <c r="CZ3"/>
  <c r="DA3"/>
  <c r="DB3"/>
  <c r="DC3"/>
  <c r="A4"/>
  <c r="CX4"/>
  <c r="CY4"/>
  <c r="CZ4"/>
  <c r="DA4"/>
  <c r="DB4"/>
  <c r="DC4"/>
  <c r="A5"/>
  <c r="CX5"/>
  <c r="CY5"/>
  <c r="CZ5"/>
  <c r="DA5"/>
  <c r="DB5"/>
  <c r="DC5"/>
  <c r="A6"/>
  <c r="CX6"/>
  <c r="CY6"/>
  <c r="CZ6"/>
  <c r="DA6"/>
  <c r="DB6"/>
  <c r="DC6"/>
  <c r="A7"/>
  <c r="CX7"/>
  <c r="CY7"/>
  <c r="CZ7"/>
  <c r="DA7"/>
  <c r="DB7"/>
  <c r="DC7"/>
  <c r="A8"/>
  <c r="CX8"/>
  <c r="CY8"/>
  <c r="CZ8"/>
  <c r="DA8"/>
  <c r="DB8"/>
  <c r="DC8"/>
  <c r="A9"/>
  <c r="CX9"/>
  <c r="CY9"/>
  <c r="CZ9"/>
  <c r="DA9"/>
  <c r="DB9"/>
  <c r="DC9"/>
  <c r="A10"/>
  <c r="CX10"/>
  <c r="CY10"/>
  <c r="CZ10"/>
  <c r="DA10"/>
  <c r="DB10"/>
  <c r="DC10"/>
  <c r="A11"/>
  <c r="CX11"/>
  <c r="CY11"/>
  <c r="CZ11"/>
  <c r="DA11"/>
  <c r="DB11"/>
  <c r="DC11"/>
  <c r="A12"/>
  <c r="CX12"/>
  <c r="CY12"/>
  <c r="CZ12"/>
  <c r="DA12"/>
  <c r="DB12"/>
  <c r="DC12"/>
  <c r="A13"/>
  <c r="CX13"/>
  <c r="CY13"/>
  <c r="CZ13"/>
  <c r="DA13"/>
  <c r="DB13"/>
  <c r="DC13"/>
  <c r="A14"/>
  <c r="CX14"/>
  <c r="CY14"/>
  <c r="CZ14"/>
  <c r="DA14"/>
  <c r="DB14"/>
  <c r="DC14"/>
  <c r="A15"/>
  <c r="CX15"/>
  <c r="CY15"/>
  <c r="CZ15"/>
  <c r="DA15"/>
  <c r="DB15"/>
  <c r="DC15"/>
  <c r="A16"/>
  <c r="CX16"/>
  <c r="CY16"/>
  <c r="CZ16"/>
  <c r="DA16"/>
  <c r="DB16"/>
  <c r="DC16"/>
  <c r="A17"/>
  <c r="CX17"/>
  <c r="CY17"/>
  <c r="CZ17"/>
  <c r="DA17"/>
  <c r="DB17"/>
  <c r="DC17"/>
  <c r="A18"/>
  <c r="CX18"/>
  <c r="CY18"/>
  <c r="CZ18"/>
  <c r="DA18"/>
  <c r="DB18"/>
  <c r="DC18"/>
  <c r="A19"/>
  <c r="CX19"/>
  <c r="CY19"/>
  <c r="CZ19"/>
  <c r="DA19"/>
  <c r="DB19"/>
  <c r="DC19"/>
  <c r="A20"/>
  <c r="CX20"/>
  <c r="CY20"/>
  <c r="CZ20"/>
  <c r="DA20"/>
  <c r="DB20"/>
  <c r="DC20"/>
  <c r="GN59" i="1"/>
  <c r="GN60"/>
  <c r="CB62"/>
  <c r="AS62" s="1"/>
  <c r="CT59"/>
  <c r="S59" s="1"/>
  <c r="CT60"/>
  <c r="S60"/>
  <c r="GP59"/>
  <c r="GP60"/>
  <c r="CD62" s="1"/>
  <c r="D12"/>
  <c r="E18"/>
  <c r="CV59"/>
  <c r="U59"/>
  <c r="AH62" s="1"/>
  <c r="CV60"/>
  <c r="U60"/>
  <c r="Z18"/>
  <c r="AA18"/>
  <c r="AB18"/>
  <c r="AC18"/>
  <c r="AD18"/>
  <c r="AE18"/>
  <c r="AF18"/>
  <c r="AG18"/>
  <c r="AH18"/>
  <c r="AI18"/>
  <c r="AJ18"/>
  <c r="AK18"/>
  <c r="AL18"/>
  <c r="AM18"/>
  <c r="AN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BZ18"/>
  <c r="CA18"/>
  <c r="CB18"/>
  <c r="CC18"/>
  <c r="CD18"/>
  <c r="CE18"/>
  <c r="CF18"/>
  <c r="CG18"/>
  <c r="CH18"/>
  <c r="CI18"/>
  <c r="CJ18"/>
  <c r="CK18"/>
  <c r="CL18"/>
  <c r="CM18"/>
  <c r="CN18"/>
  <c r="CO18"/>
  <c r="CP18"/>
  <c r="CQ18"/>
  <c r="CR18"/>
  <c r="CS18"/>
  <c r="CT18"/>
  <c r="CU18"/>
  <c r="CV18"/>
  <c r="CW18"/>
  <c r="CX18"/>
  <c r="CY18"/>
  <c r="CZ18"/>
  <c r="DA18"/>
  <c r="DB18"/>
  <c r="DC18"/>
  <c r="DD18"/>
  <c r="DE18"/>
  <c r="DF18"/>
  <c r="DG18"/>
  <c r="DH18"/>
  <c r="DI18"/>
  <c r="DJ18"/>
  <c r="DK18"/>
  <c r="DL18"/>
  <c r="DM18"/>
  <c r="DN18"/>
  <c r="DO18"/>
  <c r="DP18"/>
  <c r="DQ18"/>
  <c r="DR18"/>
  <c r="DS18"/>
  <c r="DT18"/>
  <c r="DU18"/>
  <c r="DV18"/>
  <c r="DW18"/>
  <c r="DX18"/>
  <c r="DY18"/>
  <c r="DZ18"/>
  <c r="EA18"/>
  <c r="EB18"/>
  <c r="EC18"/>
  <c r="ED18"/>
  <c r="EE18"/>
  <c r="EF18"/>
  <c r="EG18"/>
  <c r="EH18"/>
  <c r="EI18"/>
  <c r="EJ18"/>
  <c r="EK18"/>
  <c r="EL18"/>
  <c r="EM18"/>
  <c r="EN18"/>
  <c r="EO18"/>
  <c r="EP18"/>
  <c r="EQ18"/>
  <c r="ER18"/>
  <c r="ES18"/>
  <c r="ET18"/>
  <c r="EU18"/>
  <c r="EV18"/>
  <c r="EW18"/>
  <c r="EX18"/>
  <c r="EY18"/>
  <c r="EZ18"/>
  <c r="FA18"/>
  <c r="FB18"/>
  <c r="FC18"/>
  <c r="FD18"/>
  <c r="FE18"/>
  <c r="FF18"/>
  <c r="FG18"/>
  <c r="FH18"/>
  <c r="FI18"/>
  <c r="FJ18"/>
  <c r="FK18"/>
  <c r="FL18"/>
  <c r="FM18"/>
  <c r="FN18"/>
  <c r="FO18"/>
  <c r="FP18"/>
  <c r="FQ18"/>
  <c r="FR18"/>
  <c r="FS18"/>
  <c r="FT18"/>
  <c r="FU18"/>
  <c r="FV18"/>
  <c r="FW18"/>
  <c r="FX18"/>
  <c r="FY18"/>
  <c r="FZ18"/>
  <c r="GA18"/>
  <c r="GB18"/>
  <c r="GC18"/>
  <c r="GD18"/>
  <c r="GE18"/>
  <c r="GF18"/>
  <c r="GG18"/>
  <c r="GH18"/>
  <c r="GI18"/>
  <c r="GJ18"/>
  <c r="GK18"/>
  <c r="GL18"/>
  <c r="GM18"/>
  <c r="GN18"/>
  <c r="GO18"/>
  <c r="GP18"/>
  <c r="GQ18"/>
  <c r="GR18"/>
  <c r="GS18"/>
  <c r="GT18"/>
  <c r="GU18"/>
  <c r="GV18"/>
  <c r="GW18"/>
  <c r="GX18"/>
  <c r="D20"/>
  <c r="E22"/>
  <c r="G22"/>
  <c r="Z22"/>
  <c r="AA22"/>
  <c r="AM22"/>
  <c r="AN22"/>
  <c r="BD22"/>
  <c r="BE22"/>
  <c r="BF22"/>
  <c r="BG22"/>
  <c r="BH22"/>
  <c r="BI22"/>
  <c r="BJ22"/>
  <c r="BK22"/>
  <c r="BL22"/>
  <c r="BM22"/>
  <c r="BN22"/>
  <c r="BO22"/>
  <c r="BP22"/>
  <c r="BQ22"/>
  <c r="BR22"/>
  <c r="BS22"/>
  <c r="BT22"/>
  <c r="BU22"/>
  <c r="BV22"/>
  <c r="BW22"/>
  <c r="BX22"/>
  <c r="BZ22"/>
  <c r="CB22"/>
  <c r="CD22"/>
  <c r="CL22"/>
  <c r="CM22"/>
  <c r="CN22"/>
  <c r="CO22"/>
  <c r="CP22"/>
  <c r="CQ22"/>
  <c r="CR22"/>
  <c r="CS22"/>
  <c r="CT22"/>
  <c r="CU22"/>
  <c r="CV22"/>
  <c r="CW22"/>
  <c r="CX22"/>
  <c r="CY22"/>
  <c r="CZ22"/>
  <c r="DA22"/>
  <c r="DB22"/>
  <c r="DC22"/>
  <c r="DD22"/>
  <c r="DE22"/>
  <c r="DF22"/>
  <c r="DG22"/>
  <c r="DH22"/>
  <c r="DI22"/>
  <c r="DJ22"/>
  <c r="DK22"/>
  <c r="DL22"/>
  <c r="DM22"/>
  <c r="DN22"/>
  <c r="DO22"/>
  <c r="DP22"/>
  <c r="DQ22"/>
  <c r="DR22"/>
  <c r="DS22"/>
  <c r="DT22"/>
  <c r="DU22"/>
  <c r="DV22"/>
  <c r="DW22"/>
  <c r="DX22"/>
  <c r="DY22"/>
  <c r="DZ22"/>
  <c r="EA22"/>
  <c r="EB22"/>
  <c r="EC22"/>
  <c r="ED22"/>
  <c r="EE22"/>
  <c r="EF22"/>
  <c r="EG22"/>
  <c r="EH22"/>
  <c r="EI22"/>
  <c r="EJ22"/>
  <c r="EK22"/>
  <c r="EL22"/>
  <c r="EM22"/>
  <c r="EN22"/>
  <c r="EO22"/>
  <c r="EP22"/>
  <c r="EQ22"/>
  <c r="ER22"/>
  <c r="ES22"/>
  <c r="ET22"/>
  <c r="EU22"/>
  <c r="EV22"/>
  <c r="EW22"/>
  <c r="EX22"/>
  <c r="EY22"/>
  <c r="EZ22"/>
  <c r="FA22"/>
  <c r="FB22"/>
  <c r="FC22"/>
  <c r="FD22"/>
  <c r="FE22"/>
  <c r="FF22"/>
  <c r="FG22"/>
  <c r="FH22"/>
  <c r="FI22"/>
  <c r="FJ22"/>
  <c r="FK22"/>
  <c r="FL22"/>
  <c r="FM22"/>
  <c r="FN22"/>
  <c r="FO22"/>
  <c r="FP22"/>
  <c r="FQ22"/>
  <c r="FR22"/>
  <c r="FS22"/>
  <c r="FT22"/>
  <c r="FU22"/>
  <c r="FV22"/>
  <c r="FW22"/>
  <c r="FX22"/>
  <c r="FY22"/>
  <c r="FZ22"/>
  <c r="GA22"/>
  <c r="GB22"/>
  <c r="GC22"/>
  <c r="GD22"/>
  <c r="GE22"/>
  <c r="GF22"/>
  <c r="GG22"/>
  <c r="GH22"/>
  <c r="GI22"/>
  <c r="GJ22"/>
  <c r="GK22"/>
  <c r="GL22"/>
  <c r="GM22"/>
  <c r="GN22"/>
  <c r="GO22"/>
  <c r="GP22"/>
  <c r="GQ22"/>
  <c r="GR22"/>
  <c r="GS22"/>
  <c r="GT22"/>
  <c r="GU22"/>
  <c r="GV22"/>
  <c r="GW22"/>
  <c r="GX22"/>
  <c r="C24"/>
  <c r="D24"/>
  <c r="AC24"/>
  <c r="AD24"/>
  <c r="CR24" s="1"/>
  <c r="Q24" s="1"/>
  <c r="AD26" s="1"/>
  <c r="AE24"/>
  <c r="AF24"/>
  <c r="CT24" s="1"/>
  <c r="S24" s="1"/>
  <c r="AG24"/>
  <c r="AH24"/>
  <c r="CV24" s="1"/>
  <c r="U24" s="1"/>
  <c r="AI24"/>
  <c r="AJ24"/>
  <c r="CX24" s="1"/>
  <c r="W24" s="1"/>
  <c r="AJ26" s="1"/>
  <c r="CQ24"/>
  <c r="P24" s="1"/>
  <c r="CS24"/>
  <c r="R24" s="1"/>
  <c r="AE26" s="1"/>
  <c r="CU24"/>
  <c r="T24" s="1"/>
  <c r="AG26" s="1"/>
  <c r="CW24"/>
  <c r="V24" s="1"/>
  <c r="AI26" s="1"/>
  <c r="FR24"/>
  <c r="GL24"/>
  <c r="GN24"/>
  <c r="GP24"/>
  <c r="GV24"/>
  <c r="HC24"/>
  <c r="GX24" s="1"/>
  <c r="CJ26" s="1"/>
  <c r="B26"/>
  <c r="B22" s="1"/>
  <c r="C26"/>
  <c r="C22" s="1"/>
  <c r="D26"/>
  <c r="D22" s="1"/>
  <c r="F26"/>
  <c r="F22" s="1"/>
  <c r="G26"/>
  <c r="AO26"/>
  <c r="AO22" s="1"/>
  <c r="AQ26"/>
  <c r="AQ22" s="1"/>
  <c r="AS26"/>
  <c r="AS91" s="1"/>
  <c r="AU26"/>
  <c r="BC26"/>
  <c r="BC22" s="1"/>
  <c r="BX26"/>
  <c r="BY26"/>
  <c r="BY22" s="1"/>
  <c r="BZ26"/>
  <c r="CB26"/>
  <c r="CD26"/>
  <c r="CG26"/>
  <c r="CG22" s="1"/>
  <c r="CI26"/>
  <c r="CI22" s="1"/>
  <c r="CK26"/>
  <c r="CK22" s="1"/>
  <c r="CL26"/>
  <c r="F30"/>
  <c r="F36"/>
  <c r="F42"/>
  <c r="D55"/>
  <c r="E57"/>
  <c r="G57"/>
  <c r="Z57"/>
  <c r="AA57"/>
  <c r="AM57"/>
  <c r="AN57"/>
  <c r="BD57"/>
  <c r="BE57"/>
  <c r="BF57"/>
  <c r="BG57"/>
  <c r="BH57"/>
  <c r="BI57"/>
  <c r="BJ57"/>
  <c r="BK57"/>
  <c r="BL57"/>
  <c r="BM57"/>
  <c r="BN57"/>
  <c r="BO57"/>
  <c r="BP57"/>
  <c r="BQ57"/>
  <c r="BR57"/>
  <c r="BS57"/>
  <c r="BT57"/>
  <c r="BU57"/>
  <c r="BV57"/>
  <c r="BW57"/>
  <c r="BX57"/>
  <c r="BZ57"/>
  <c r="CB57"/>
  <c r="CM57"/>
  <c r="CN57"/>
  <c r="CO57"/>
  <c r="CP57"/>
  <c r="CQ57"/>
  <c r="CR57"/>
  <c r="CS57"/>
  <c r="CT57"/>
  <c r="CU57"/>
  <c r="CV57"/>
  <c r="CW57"/>
  <c r="CX57"/>
  <c r="CY57"/>
  <c r="CZ57"/>
  <c r="DA57"/>
  <c r="DB57"/>
  <c r="DC57"/>
  <c r="DD57"/>
  <c r="DE57"/>
  <c r="DF57"/>
  <c r="DG57"/>
  <c r="DH57"/>
  <c r="DI57"/>
  <c r="DJ57"/>
  <c r="DK57"/>
  <c r="DL57"/>
  <c r="DM57"/>
  <c r="DN57"/>
  <c r="DO57"/>
  <c r="DP57"/>
  <c r="DQ57"/>
  <c r="DR57"/>
  <c r="DS57"/>
  <c r="DT57"/>
  <c r="DU57"/>
  <c r="DV57"/>
  <c r="DW57"/>
  <c r="DX57"/>
  <c r="DY57"/>
  <c r="DZ57"/>
  <c r="EA57"/>
  <c r="EB57"/>
  <c r="EC57"/>
  <c r="ED57"/>
  <c r="EE57"/>
  <c r="EF57"/>
  <c r="EG57"/>
  <c r="EH57"/>
  <c r="EI57"/>
  <c r="EJ57"/>
  <c r="EK57"/>
  <c r="EL57"/>
  <c r="EM57"/>
  <c r="EN57"/>
  <c r="EO57"/>
  <c r="EP57"/>
  <c r="EQ57"/>
  <c r="ER57"/>
  <c r="ES57"/>
  <c r="ET57"/>
  <c r="EU57"/>
  <c r="EV57"/>
  <c r="EW57"/>
  <c r="EX57"/>
  <c r="EY57"/>
  <c r="EZ57"/>
  <c r="FA57"/>
  <c r="FB57"/>
  <c r="FC57"/>
  <c r="FD57"/>
  <c r="FE57"/>
  <c r="FF57"/>
  <c r="FG57"/>
  <c r="FH57"/>
  <c r="FI57"/>
  <c r="FJ57"/>
  <c r="FK57"/>
  <c r="FL57"/>
  <c r="FM57"/>
  <c r="FN57"/>
  <c r="FO57"/>
  <c r="FP57"/>
  <c r="FQ57"/>
  <c r="FR57"/>
  <c r="FS57"/>
  <c r="FT57"/>
  <c r="FU57"/>
  <c r="FV57"/>
  <c r="FW57"/>
  <c r="FX57"/>
  <c r="FY57"/>
  <c r="FZ57"/>
  <c r="GA57"/>
  <c r="GB57"/>
  <c r="GC57"/>
  <c r="GD57"/>
  <c r="GE57"/>
  <c r="GF57"/>
  <c r="GG57"/>
  <c r="GH57"/>
  <c r="GI57"/>
  <c r="GJ57"/>
  <c r="GK57"/>
  <c r="GL57"/>
  <c r="GM57"/>
  <c r="GN57"/>
  <c r="GO57"/>
  <c r="GP57"/>
  <c r="GQ57"/>
  <c r="GR57"/>
  <c r="GS57"/>
  <c r="GT57"/>
  <c r="GU57"/>
  <c r="GV57"/>
  <c r="GW57"/>
  <c r="GX57"/>
  <c r="C59"/>
  <c r="D59"/>
  <c r="T59"/>
  <c r="AG62" s="1"/>
  <c r="W59"/>
  <c r="AJ62" s="1"/>
  <c r="AC59"/>
  <c r="AE59"/>
  <c r="AD59" s="1"/>
  <c r="CR59" s="1"/>
  <c r="Q59" s="1"/>
  <c r="AG59"/>
  <c r="AI59"/>
  <c r="AJ59"/>
  <c r="CQ59"/>
  <c r="P59" s="1"/>
  <c r="CS59"/>
  <c r="R59" s="1"/>
  <c r="CU59"/>
  <c r="CW59"/>
  <c r="V59" s="1"/>
  <c r="CX59"/>
  <c r="FR59"/>
  <c r="GL59"/>
  <c r="GV59"/>
  <c r="HC59"/>
  <c r="GX59" s="1"/>
  <c r="C60"/>
  <c r="D60"/>
  <c r="T60"/>
  <c r="W60"/>
  <c r="AC60"/>
  <c r="AE60"/>
  <c r="AD60" s="1"/>
  <c r="CR60" s="1"/>
  <c r="Q60" s="1"/>
  <c r="AG60"/>
  <c r="AI60"/>
  <c r="AJ60"/>
  <c r="CQ60"/>
  <c r="P60" s="1"/>
  <c r="CS60"/>
  <c r="R60" s="1"/>
  <c r="CU60"/>
  <c r="CW60"/>
  <c r="V60" s="1"/>
  <c r="CX60"/>
  <c r="FR60"/>
  <c r="GL60"/>
  <c r="GV60"/>
  <c r="HC60"/>
  <c r="GX60" s="1"/>
  <c r="B62"/>
  <c r="B57" s="1"/>
  <c r="C62"/>
  <c r="C57" s="1"/>
  <c r="D62"/>
  <c r="D57" s="1"/>
  <c r="F62"/>
  <c r="F57" s="1"/>
  <c r="G62"/>
  <c r="AO62"/>
  <c r="AO57" s="1"/>
  <c r="AQ62"/>
  <c r="AQ57" s="1"/>
  <c r="BX62"/>
  <c r="BY62"/>
  <c r="BY57" s="1"/>
  <c r="BZ62"/>
  <c r="CG62"/>
  <c r="CG57" s="1"/>
  <c r="CI62"/>
  <c r="CI57" s="1"/>
  <c r="CK62"/>
  <c r="CK57" s="1"/>
  <c r="CL62"/>
  <c r="CL57" s="1"/>
  <c r="F66"/>
  <c r="F72"/>
  <c r="B91"/>
  <c r="B18" s="1"/>
  <c r="C91"/>
  <c r="C18" s="1"/>
  <c r="D91"/>
  <c r="D18" s="1"/>
  <c r="F91"/>
  <c r="F18" s="1"/>
  <c r="G91"/>
  <c r="G18" s="1"/>
  <c r="AO91"/>
  <c r="AO18" s="1"/>
  <c r="AQ91"/>
  <c r="AQ18" s="1"/>
  <c r="H24" i="5"/>
  <c r="S23"/>
  <c r="H25" s="1"/>
  <c r="U23"/>
  <c r="H26" s="1"/>
  <c r="W28"/>
  <c r="G13" s="1"/>
  <c r="Y28"/>
  <c r="G15" s="1"/>
  <c r="Z28"/>
  <c r="G16" s="1"/>
  <c r="R24"/>
  <c r="G18" s="1"/>
  <c r="A23"/>
  <c r="B23"/>
  <c r="C23"/>
  <c r="D23"/>
  <c r="E23"/>
  <c r="F23"/>
  <c r="I23"/>
  <c r="F24"/>
  <c r="G24"/>
  <c r="J24"/>
  <c r="E25"/>
  <c r="I25"/>
  <c r="J25"/>
  <c r="E26"/>
  <c r="I26"/>
  <c r="J26"/>
  <c r="E27"/>
  <c r="G27"/>
  <c r="C33"/>
  <c r="C34"/>
  <c r="C35"/>
  <c r="C36"/>
  <c r="C37"/>
  <c r="D41"/>
  <c r="I41"/>
  <c r="D44"/>
  <c r="I44"/>
  <c r="H71"/>
  <c r="S70"/>
  <c r="H73"/>
  <c r="U70"/>
  <c r="H74"/>
  <c r="H72"/>
  <c r="G76" s="1"/>
  <c r="O76" s="1"/>
  <c r="H78"/>
  <c r="S77"/>
  <c r="H79"/>
  <c r="U77"/>
  <c r="H80" s="1"/>
  <c r="X82" s="1"/>
  <c r="W76"/>
  <c r="W82"/>
  <c r="Y76"/>
  <c r="Y82"/>
  <c r="G61" s="1"/>
  <c r="Z76"/>
  <c r="Z82"/>
  <c r="G62" s="1"/>
  <c r="R78"/>
  <c r="A70"/>
  <c r="B70"/>
  <c r="C70"/>
  <c r="D70"/>
  <c r="E70"/>
  <c r="F70"/>
  <c r="I70"/>
  <c r="F71"/>
  <c r="G71"/>
  <c r="J71"/>
  <c r="F72"/>
  <c r="G72"/>
  <c r="J72"/>
  <c r="E73"/>
  <c r="I73"/>
  <c r="J73"/>
  <c r="E74"/>
  <c r="I74"/>
  <c r="J74"/>
  <c r="E75"/>
  <c r="G75"/>
  <c r="L75"/>
  <c r="L76"/>
  <c r="Q76" s="1"/>
  <c r="L84" s="1"/>
  <c r="A77"/>
  <c r="B77"/>
  <c r="C77"/>
  <c r="D77"/>
  <c r="E77"/>
  <c r="F77"/>
  <c r="I77"/>
  <c r="F78"/>
  <c r="G78"/>
  <c r="J78"/>
  <c r="K78"/>
  <c r="E79"/>
  <c r="I79"/>
  <c r="J79"/>
  <c r="E80"/>
  <c r="I80"/>
  <c r="J80"/>
  <c r="E81"/>
  <c r="G81"/>
  <c r="L81"/>
  <c r="L82"/>
  <c r="Q82" s="1"/>
  <c r="C87"/>
  <c r="C88"/>
  <c r="C89"/>
  <c r="C90"/>
  <c r="D107"/>
  <c r="I107"/>
  <c r="D110"/>
  <c r="I110"/>
  <c r="G59" l="1"/>
  <c r="G82"/>
  <c r="O82" s="1"/>
  <c r="X76"/>
  <c r="G60" s="1"/>
  <c r="CP59" i="1"/>
  <c r="O59" s="1"/>
  <c r="AC62"/>
  <c r="K72" i="5"/>
  <c r="W62" i="1"/>
  <c r="AJ57"/>
  <c r="F108"/>
  <c r="AS18"/>
  <c r="CJ22"/>
  <c r="BA26"/>
  <c r="AI22"/>
  <c r="V26"/>
  <c r="AE22"/>
  <c r="R26"/>
  <c r="AJ22"/>
  <c r="W26"/>
  <c r="AH26"/>
  <c r="L27" i="5"/>
  <c r="L28"/>
  <c r="Q28" s="1"/>
  <c r="L30" s="1"/>
  <c r="CZ24" i="1"/>
  <c r="Y24" s="1"/>
  <c r="AF26"/>
  <c r="CY24"/>
  <c r="X24" s="1"/>
  <c r="K24" i="5"/>
  <c r="AD22" i="1"/>
  <c r="Q26"/>
  <c r="U62"/>
  <c r="AH57"/>
  <c r="AU62"/>
  <c r="CD57"/>
  <c r="CY59"/>
  <c r="X59" s="1"/>
  <c r="CZ59"/>
  <c r="Y59" s="1"/>
  <c r="AF62"/>
  <c r="K71" i="5"/>
  <c r="K14" i="6"/>
  <c r="K15" s="1"/>
  <c r="CJ62" i="1"/>
  <c r="CY60"/>
  <c r="X60" s="1"/>
  <c r="T77" i="5" s="1"/>
  <c r="K79" s="1"/>
  <c r="G58"/>
  <c r="G84"/>
  <c r="G28"/>
  <c r="O28" s="1"/>
  <c r="X28"/>
  <c r="G14" s="1"/>
  <c r="AG57" i="1"/>
  <c r="T62"/>
  <c r="AG22"/>
  <c r="T26"/>
  <c r="CP24"/>
  <c r="O24" s="1"/>
  <c r="AC26"/>
  <c r="AS57"/>
  <c r="F79"/>
  <c r="CP60"/>
  <c r="O60" s="1"/>
  <c r="AD62"/>
  <c r="AB60"/>
  <c r="AI62"/>
  <c r="AE62"/>
  <c r="AB59"/>
  <c r="AU91"/>
  <c r="R71" i="5"/>
  <c r="G64" s="1"/>
  <c r="F101" i="1"/>
  <c r="F95"/>
  <c r="BC62"/>
  <c r="AB24"/>
  <c r="BB62"/>
  <c r="AZ62"/>
  <c r="AX62"/>
  <c r="AP62"/>
  <c r="F45"/>
  <c r="F43"/>
  <c r="BB26"/>
  <c r="AZ26"/>
  <c r="AX26"/>
  <c r="AP26"/>
  <c r="AU22"/>
  <c r="AS22"/>
  <c r="CZ60"/>
  <c r="Y60" s="1"/>
  <c r="V77" i="5" s="1"/>
  <c r="K80" s="1"/>
  <c r="F37" i="1" l="1"/>
  <c r="AZ22"/>
  <c r="AZ91"/>
  <c r="F33"/>
  <c r="AX22"/>
  <c r="AX91"/>
  <c r="F39"/>
  <c r="BB22"/>
  <c r="BB91"/>
  <c r="F69"/>
  <c r="AX57"/>
  <c r="F75"/>
  <c r="BB57"/>
  <c r="BC57"/>
  <c r="F78"/>
  <c r="BC91"/>
  <c r="F110"/>
  <c r="AU18"/>
  <c r="AE57"/>
  <c r="R62"/>
  <c r="GO60"/>
  <c r="GM60"/>
  <c r="AB26"/>
  <c r="GM24"/>
  <c r="CA26" s="1"/>
  <c r="GO24"/>
  <c r="CC26" s="1"/>
  <c r="G12" i="5"/>
  <c r="G30"/>
  <c r="CJ57" i="1"/>
  <c r="BA62"/>
  <c r="K17" i="6"/>
  <c r="K18"/>
  <c r="S62" i="1"/>
  <c r="AF57"/>
  <c r="AK62"/>
  <c r="T70" i="5"/>
  <c r="K73" s="1"/>
  <c r="F81" i="1"/>
  <c r="AU57"/>
  <c r="U57"/>
  <c r="F84"/>
  <c r="T23" i="5"/>
  <c r="K25" s="1"/>
  <c r="AK26" i="1"/>
  <c r="AL26"/>
  <c r="V23" i="5"/>
  <c r="K26" s="1"/>
  <c r="W22" i="1"/>
  <c r="F50"/>
  <c r="W91"/>
  <c r="R91"/>
  <c r="R22"/>
  <c r="F40"/>
  <c r="F49"/>
  <c r="V22"/>
  <c r="BA22"/>
  <c r="BA91"/>
  <c r="F46"/>
  <c r="H16" i="2" s="1"/>
  <c r="AB62" i="1"/>
  <c r="GM59"/>
  <c r="CA62" s="1"/>
  <c r="GO59"/>
  <c r="CC62" s="1"/>
  <c r="F35"/>
  <c r="AP22"/>
  <c r="AP91"/>
  <c r="I13" i="5"/>
  <c r="E16" i="2"/>
  <c r="F71" i="1"/>
  <c r="AP57"/>
  <c r="F73"/>
  <c r="AZ57"/>
  <c r="AI57"/>
  <c r="V62"/>
  <c r="Q62"/>
  <c r="AD57"/>
  <c r="E17" i="2"/>
  <c r="I59" i="5"/>
  <c r="AC22" i="1"/>
  <c r="P26"/>
  <c r="CF26"/>
  <c r="CH26"/>
  <c r="CE26"/>
  <c r="F47"/>
  <c r="T22"/>
  <c r="T91"/>
  <c r="F83"/>
  <c r="T57"/>
  <c r="AL62"/>
  <c r="V70" i="5"/>
  <c r="K74" s="1"/>
  <c r="Q22" i="1"/>
  <c r="F38"/>
  <c r="Q91"/>
  <c r="AF22"/>
  <c r="S26"/>
  <c r="AH22"/>
  <c r="U26"/>
  <c r="W57"/>
  <c r="F86"/>
  <c r="AC57"/>
  <c r="CF62"/>
  <c r="CH62"/>
  <c r="P62"/>
  <c r="CE62"/>
  <c r="J82" i="5"/>
  <c r="P82" s="1"/>
  <c r="J76"/>
  <c r="P76" s="1"/>
  <c r="J28"/>
  <c r="P28" s="1"/>
  <c r="J30" s="1"/>
  <c r="CE57" i="1" l="1"/>
  <c r="AV62"/>
  <c r="CH57"/>
  <c r="AY62"/>
  <c r="F112"/>
  <c r="T18"/>
  <c r="CH22"/>
  <c r="AY26"/>
  <c r="F29"/>
  <c r="P91"/>
  <c r="P22"/>
  <c r="F85"/>
  <c r="V57"/>
  <c r="E19" i="2"/>
  <c r="AP18" i="1"/>
  <c r="F100"/>
  <c r="I15" i="5"/>
  <c r="G16" i="2"/>
  <c r="CA57" i="1"/>
  <c r="AR62"/>
  <c r="R18"/>
  <c r="F105"/>
  <c r="AK22"/>
  <c r="X26"/>
  <c r="BA57"/>
  <c r="F82"/>
  <c r="CC22"/>
  <c r="AT26"/>
  <c r="AB22"/>
  <c r="O26"/>
  <c r="BB18"/>
  <c r="F104"/>
  <c r="AZ18"/>
  <c r="F102"/>
  <c r="J84" i="5"/>
  <c r="V91" i="1"/>
  <c r="I63" i="5"/>
  <c r="G63" s="1"/>
  <c r="I16"/>
  <c r="F65" i="1"/>
  <c r="P57"/>
  <c r="CF57"/>
  <c r="AW62"/>
  <c r="U91"/>
  <c r="U22"/>
  <c r="F48"/>
  <c r="I17" i="5" s="1"/>
  <c r="G17" s="1"/>
  <c r="S22" i="1"/>
  <c r="F41"/>
  <c r="S91"/>
  <c r="Q18"/>
  <c r="F103"/>
  <c r="Y62"/>
  <c r="AL57"/>
  <c r="CE22"/>
  <c r="AV26"/>
  <c r="CF22"/>
  <c r="AW26"/>
  <c r="Q57"/>
  <c r="F74"/>
  <c r="G17" i="2"/>
  <c r="I61" i="5"/>
  <c r="AT62" i="1"/>
  <c r="CC57"/>
  <c r="O62"/>
  <c r="AB57"/>
  <c r="BA18"/>
  <c r="F111"/>
  <c r="W18"/>
  <c r="F115"/>
  <c r="AL22"/>
  <c r="Y26"/>
  <c r="H17" i="2"/>
  <c r="H19" s="1"/>
  <c r="I62" i="5"/>
  <c r="AK57" i="1"/>
  <c r="X62"/>
  <c r="S57"/>
  <c r="F77"/>
  <c r="CA22"/>
  <c r="AR26"/>
  <c r="R57"/>
  <c r="F76"/>
  <c r="BC18"/>
  <c r="F107"/>
  <c r="AX18"/>
  <c r="F98"/>
  <c r="AR91" l="1"/>
  <c r="F53"/>
  <c r="AR22"/>
  <c r="O57"/>
  <c r="F64"/>
  <c r="J87" i="5" s="1"/>
  <c r="F80" i="1"/>
  <c r="AT57"/>
  <c r="Y57"/>
  <c r="F88"/>
  <c r="J90" i="5" s="1"/>
  <c r="J16" i="2"/>
  <c r="I18" i="5"/>
  <c r="J34"/>
  <c r="U18" i="1"/>
  <c r="F113"/>
  <c r="P18"/>
  <c r="F94"/>
  <c r="AY22"/>
  <c r="AY91"/>
  <c r="F34"/>
  <c r="AY57"/>
  <c r="F70"/>
  <c r="F67"/>
  <c r="AV57"/>
  <c r="J17" i="2"/>
  <c r="J88" i="5"/>
  <c r="I64"/>
  <c r="F87" i="1"/>
  <c r="J89" i="5" s="1"/>
  <c r="X57" i="1"/>
  <c r="Y91"/>
  <c r="Y22"/>
  <c r="F52"/>
  <c r="J37" i="5" s="1"/>
  <c r="AW22" i="1"/>
  <c r="AW91"/>
  <c r="F32"/>
  <c r="F31"/>
  <c r="AV22"/>
  <c r="AV91"/>
  <c r="S18"/>
  <c r="F106"/>
  <c r="AW57"/>
  <c r="F68"/>
  <c r="V18"/>
  <c r="F114"/>
  <c r="O91"/>
  <c r="O22"/>
  <c r="F28"/>
  <c r="J33" i="5" s="1"/>
  <c r="AT91" i="1"/>
  <c r="AT22"/>
  <c r="F44"/>
  <c r="X91"/>
  <c r="F51"/>
  <c r="J36" i="5" s="1"/>
  <c r="X22" i="1"/>
  <c r="F89"/>
  <c r="AR57"/>
  <c r="G19" i="2"/>
  <c r="AT18" i="1" l="1"/>
  <c r="F109"/>
  <c r="AW18"/>
  <c r="F97"/>
  <c r="Y18"/>
  <c r="F117"/>
  <c r="F118"/>
  <c r="AR18"/>
  <c r="J91" i="5"/>
  <c r="I58"/>
  <c r="F16" i="2"/>
  <c r="I14" i="5"/>
  <c r="J35"/>
  <c r="AV18" i="1"/>
  <c r="F96"/>
  <c r="F116"/>
  <c r="X18"/>
  <c r="O18"/>
  <c r="F93"/>
  <c r="AY18"/>
  <c r="F99"/>
  <c r="F17" i="2"/>
  <c r="I17" s="1"/>
  <c r="I60" i="5"/>
  <c r="J39"/>
  <c r="I12"/>
  <c r="J19" i="2"/>
  <c r="F19" l="1"/>
  <c r="I16"/>
  <c r="I19" s="1"/>
  <c r="M91" i="5"/>
  <c r="J14" i="6"/>
  <c r="M14" s="1"/>
  <c r="H102" i="5"/>
  <c r="M102" s="1"/>
  <c r="J13" i="6"/>
  <c r="N39" i="5"/>
  <c r="M13" i="6" l="1"/>
  <c r="J15"/>
  <c r="J17" l="1"/>
  <c r="J18" s="1"/>
  <c r="M15"/>
  <c r="M17" l="1"/>
  <c r="M18" s="1"/>
</calcChain>
</file>

<file path=xl/sharedStrings.xml><?xml version="1.0" encoding="utf-8"?>
<sst xmlns="http://schemas.openxmlformats.org/spreadsheetml/2006/main" count="1137" uniqueCount="263">
  <si>
    <t>Smeta.RU  (495) 974-1589</t>
  </si>
  <si>
    <t>_PS_</t>
  </si>
  <si>
    <t>Smeta.RU</t>
  </si>
  <si>
    <t/>
  </si>
  <si>
    <t>Камеры</t>
  </si>
  <si>
    <t>Сметные нормы списания</t>
  </si>
  <si>
    <t>Коды ценников</t>
  </si>
  <si>
    <t>ФЕР 2017</t>
  </si>
  <si>
    <t>ТР для Версии 10: Центральные регионы (с уч. п-ма 2536-ИП/12/ГС от 27.11.12, 01/57049-ЮЛ от 27.04.2018) от 14.03.2019 г</t>
  </si>
  <si>
    <t>ФЕР-2017</t>
  </si>
  <si>
    <t>501-0664</t>
  </si>
  <si>
    <t>Поправки  для ГСН 2017 от 25.10.2017 г</t>
  </si>
  <si>
    <t>Демонтажные работы</t>
  </si>
  <si>
    <t>1</t>
  </si>
  <si>
    <t>м10-09-001-02</t>
  </si>
  <si>
    <t>КОМПЛ</t>
  </si>
  <si>
    <t>ФЕРм-2001, м10-09-001-02, приказ Минстроя России №1039/пр от 30.12.2016г.</t>
  </si>
  <si>
    <t>*0</t>
  </si>
  <si>
    <t>*1,2*0,3</t>
  </si>
  <si>
    <t>Монтажные работы</t>
  </si>
  <si>
    <t>Связь: пожарно-охранная сигнализация и пром. телевиз. установки  ( отделы 8 и 9 ) (при устройстве средств посадки самолетов : НР=95%, СП=55% - {АВИА}=1)</t>
  </si>
  <si>
    <t>мФЕР-10</t>
  </si>
  <si>
    <t>*0,85</t>
  </si>
  <si>
    <t>*0,8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</si>
  <si>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</si>
  <si>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</si>
  <si>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</si>
  <si>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</si>
  <si>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</si>
  <si>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</si>
  <si>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</si>
  <si>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</si>
  <si>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</si>
  <si>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</si>
  <si>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</si>
  <si>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</si>
  <si>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</si>
  <si>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</si>
  <si>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</si>
  <si>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</si>
  <si>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</si>
  <si>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</si>
  <si>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</si>
  <si>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</si>
  <si>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</si>
  <si>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</si>
  <si>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</si>
  <si>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</si>
  <si>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</si>
  <si>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</si>
  <si>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</si>
  <si>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</si>
  <si>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</si>
  <si>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</si>
  <si>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</si>
  <si>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</si>
  <si>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</si>
  <si>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</si>
  <si>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</si>
  <si>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</si>
  <si>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</si>
  <si>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</si>
  <si>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</si>
  <si>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</si>
  <si>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</si>
  <si>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</si>
  <si>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</si>
  <si>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</si>
  <si>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</si>
  <si>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</si>
  <si>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</si>
  <si>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</si>
  <si>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</si>
  <si>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</si>
  <si>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</si>
  <si>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</si>
  <si>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*1,2</t>
  </si>
  <si>
    <t>2</t>
  </si>
  <si>
    <t>м10-06-068-11</t>
  </si>
  <si>
    <t>ШТ</t>
  </si>
  <si>
    <t>ФЕРм-2001, м10-06-068-11, приказ Минстроя России №1039/пр от 30.12.2016г.</t>
  </si>
  <si>
    <t>Связь: настройка синхронных цифровых линий  . отдел 6, раздел 4  - (при устройстве средств посадки самолетов : НР=95%, СП=55% - {АВИА}=1)</t>
  </si>
  <si>
    <t>СТР_РЕК</t>
  </si>
  <si>
    <t>СТРОИТЕЛЬСТВО и РЕКОНСТРУКЦИЯ  зданий и сооружений всех назначений</t>
  </si>
  <si>
    <t>РЕМ_ЖИЛ</t>
  </si>
  <si>
    <t>КАП. РЕМ. ЖИЛЫХ И ОБЩЕСТВЕННЫХ ЗДАНИЙ</t>
  </si>
  <si>
    <t>РЕМ_ПР</t>
  </si>
  <si>
    <t>КАП. РЕМ. ПРОИЗВОДСТВЕННЫХ ЗД, и СООРУЖЕНИЙ,  НАРУЖНЫХ ИНЖЕНЕРНЫХ СЕТЕЙ, УЛИЦ И ДОРОГ МЕСТНОГО ЗНАЧЕНИЯ, МОСТОВ И ПУТЕПРОВОДОВ</t>
  </si>
  <si>
    <t>УПР</t>
  </si>
  <si>
    <t>{вкл} - УПРОЩЕННОЕ НАЛОГООБЛОЖЕНИЕ</t>
  </si>
  <si>
    <t>Для всех  расценок. (  при применении упрощенной системы налогообложения)  · {УПР} - ( вкл.)    -  при упрощенной системе   ;  к = 0,9 к СП ( к= 0,7 к НР отменен с 1.01.11)  · {УПР} - ( выкл.) -  при  обычной системе налогообложения</t>
  </si>
  <si>
    <t>ХОЗ</t>
  </si>
  <si>
    <t>{вкл} - ХОЗЯЙСТВЕННЫЙ СПОСОБ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</si>
  <si>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</si>
  <si>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СЛЖ</t>
  </si>
  <si>
    <t>{вкл} -  При  РЕКОНСТРУКЦИИ сложных объектов, РЕКОНСТРУКЦИИ и КАП. РЕМОНТЕ объектов с дейст. яд. реакторами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</si>
  <si>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</si>
  <si>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М/Т/Я</t>
  </si>
  <si>
    <t>Работы по строительству мостов, тоннелей, метрополитенов, атомных станций, объектов с ядерным топливом и радиокативными отходами ( письмо Госстроя РФ № 2536-ИП/12/ГС от 27.11.12), коэффициенты к НР =0,85 и к СП-0,8 не назначаются</t>
  </si>
  <si>
    <t>ОПТ/В</t>
  </si>
  <si>
    <t>{вкл}    - Прокладка  МЕЖДУГОРОДНИХ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</si>
  <si>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</si>
  <si>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</si>
  <si>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                       (ФЕР-29, разд.04 )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</si>
  <si>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</si>
  <si>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</si>
  <si>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</si>
  <si>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</si>
  <si>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АЭС</t>
  </si>
  <si>
    <t>(вкл)  -  Производство эл./монт. работ на АЭС ( ФЕРм -08 , отдел 01-03 ),  и контроль свар. швов  на АЭС {вкл}  (ФЕРм-39, отд. 02 и 03 )  (вык) -  Произовдство эл./монт. работ  и и контроль свар. швов на ОБЫЧНЫХ СООРУЖ,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</si>
  <si>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</si>
  <si>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Инд_исп.Сводный</t>
  </si>
  <si>
    <t>Используется Индекс "по сводному"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</si>
  <si>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</si>
  <si>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</si>
  <si>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</si>
  <si>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</si>
  <si>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</si>
  <si>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</si>
  <si>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К_НР_05</t>
  </si>
  <si>
    <t>К нормам НР  с 1.01.2005 по 1.01.2011</t>
  </si>
  <si>
    <t>Для норм НР с 1.01.2011 года:  · {_ТЕК_НР} = 0.85  -  Коэффициент   учитывающий изменение нормы страховых взносов с  1.01.1 - (при расчете в текущем уровне цен  индексами по статьям затрат )  · {_ТЕК_НР} = 1,00  -  при расчет в текущем уровне цен и при уп</t>
  </si>
  <si>
    <t>К_НР_11</t>
  </si>
  <si>
    <t>Коэфф.  к НР для текущего уровня цен с 01.01.2011  при обычном и упрощенном налогообложении  при постатейной индексации</t>
  </si>
  <si>
    <t>К_СП_11</t>
  </si>
  <si>
    <t>Коэф. к  СП в текущем уровне цен  с 01.01.2011</t>
  </si>
  <si>
    <t>Для норм СП с 1.01.2011 года:  · {_ТЕК_СП} = 0.80  -  Коэффициент   учитывающий изменение нормы страховых взносов с  1.01.11 - (при расчете в текущем уровне цен  индексами по статьям затрат )  · {_ТЕК_СП} = 1,00  -  без учета</t>
  </si>
  <si>
    <t>К_НР_12</t>
  </si>
  <si>
    <t>Корректировка НР с 03.12.12   если (М/Т/Я) = {выкл.}</t>
  </si>
  <si>
    <t>К_СП_12</t>
  </si>
  <si>
    <t>Корректировка СП с 03.12.12  в текущем уровне цен по письму  2536-ИП/12/ГС от 27.11.12  ( если (М/Т/Я) = {выкл.} )</t>
  </si>
  <si>
    <t>К_НР_УПР</t>
  </si>
  <si>
    <t>Коэф. к  НР при упрощенном налогообложении    ( если {УПР} = [вкл] )</t>
  </si>
  <si>
    <t>К_СП_УПР</t>
  </si>
  <si>
    <t>Коэф. к СП при упрощенном налогообложении    ( если {УПР} = [вкл] )</t>
  </si>
  <si>
    <t>К_НР_ХОЗ</t>
  </si>
  <si>
    <t>Коэф. к НР при хозяйственном способе производства работ   ( если {ХОЗ}= {вкл} )</t>
  </si>
  <si>
    <t>К_НР_СЛЖ</t>
  </si>
  <si>
    <t>Коэф.  при реконструкции сложных объектов  и  кап. ремонте объектов с яд. реакторами   ( если {СЛЖ} = [вкл] )</t>
  </si>
  <si>
    <t>Р_ОКР</t>
  </si>
  <si>
    <t>Разрядность округления результата расчета НР и СП  ( с 01.01.2011 - до целых )</t>
  </si>
  <si>
    <t>К_НР_УПР_ПУ</t>
  </si>
  <si>
    <t>Коэф. к НР при упрощенном налогообложении ( если {УПР} = [вкл] ) для расценок на изготовление материалов, полуфабрикатов, а также металлических и трубопроводных заготовок, изготовляемых в построечных условиях</t>
  </si>
  <si>
    <t>Текущий уровень цен</t>
  </si>
  <si>
    <t>Сборник индексов</t>
  </si>
  <si>
    <t>Индексы к ФЕР-2017 (Стройинформресурс)</t>
  </si>
  <si>
    <t>_OBSM_</t>
  </si>
  <si>
    <t>1-100-45</t>
  </si>
  <si>
    <t>Рабочий среднего разряда 4.5</t>
  </si>
  <si>
    <t>чел.-ч.</t>
  </si>
  <si>
    <t>01.3.01.07-0009</t>
  </si>
  <si>
    <t>ФССЦ-2001, 01.3.01.07-0009, приказ Минстроя России №1039/пр от 30.12.2016г.</t>
  </si>
  <si>
    <t>Спирт этиловый ректификованный технический, сорт I</t>
  </si>
  <si>
    <t>кг</t>
  </si>
  <si>
    <t>01.3.05.17-0002</t>
  </si>
  <si>
    <t>ФССЦ-2001, 01.3.05.17-0002, приказ Минстроя России №1039/пр от 30.12.2016г.</t>
  </si>
  <si>
    <t>Канифоль сосновая</t>
  </si>
  <si>
    <t>01.7.03.04-0001</t>
  </si>
  <si>
    <t>ФССЦ-2001, 01.7.03.04-0001, приказ Минстроя России №1039/пр от 30.12.2016г.</t>
  </si>
  <si>
    <t>Электроэнергия</t>
  </si>
  <si>
    <t>КВТ-Ч</t>
  </si>
  <si>
    <t>01.7.06.03-0023</t>
  </si>
  <si>
    <t>ФССЦ-2001, 01.7.06.03-0023, приказ Минстроя России №1039/пр от 30.12.2016г.</t>
  </si>
  <si>
    <t>Лента полиэтиленовая с липким слоем марка А</t>
  </si>
  <si>
    <t>01.7.20.04-0003</t>
  </si>
  <si>
    <t>ФССЦ-2001, 01.7.20.04-0003, приказ Минстроя России №1039/пр от 30.12.2016г.</t>
  </si>
  <si>
    <t>Нитки суровые</t>
  </si>
  <si>
    <t>10.3.02.03-0012</t>
  </si>
  <si>
    <t>ФССЦ-2001, 10.3.02.03-0012, приказ Минстроя России №1039/пр от 30.12.2016г.</t>
  </si>
  <si>
    <t>Припои оловянно-свинцовые бессурьмянистые марки ПОС40</t>
  </si>
  <si>
    <t>24.3.01.01-0004</t>
  </si>
  <si>
    <t>ФССЦ-2001, 24.3.01.01-0004, приказ Минстроя России №1039/пр от 30.12.2016г.</t>
  </si>
  <si>
    <t>Трубка полихлорвиниловая ПХВ-305 диаметром 6-10 мм</t>
  </si>
  <si>
    <t>999-9950</t>
  </si>
  <si>
    <t>Вспомогательные ненормируемые материалы (2% от ОЗП)</t>
  </si>
  <si>
    <t>РУБ</t>
  </si>
  <si>
    <t>1-100</t>
  </si>
  <si>
    <t>Средний разряд работы</t>
  </si>
  <si>
    <t>999-0005</t>
  </si>
  <si>
    <t>Масса оборудования</t>
  </si>
  <si>
    <t>т</t>
  </si>
  <si>
    <t>(наименование работ и затрат, наименование объекта)</t>
  </si>
  <si>
    <t>базовая цена</t>
  </si>
  <si>
    <t>текущая цена</t>
  </si>
  <si>
    <t>Сметная стоимость</t>
  </si>
  <si>
    <t>тыс. руб.</t>
  </si>
  <si>
    <t xml:space="preserve">     Строительные работы</t>
  </si>
  <si>
    <t xml:space="preserve">     Монтажные работы</t>
  </si>
  <si>
    <t xml:space="preserve">     Оборудование</t>
  </si>
  <si>
    <t xml:space="preserve">     Прочие работы</t>
  </si>
  <si>
    <t>Нормативная трудоемкость</t>
  </si>
  <si>
    <t>чел. -ч.</t>
  </si>
  <si>
    <t>Средства на оплату труда</t>
  </si>
  <si>
    <t>№ п/п</t>
  </si>
  <si>
    <t>Шифр расценки и коды ресурсов</t>
  </si>
  <si>
    <t>Наименование работ и затрат</t>
  </si>
  <si>
    <t>Ед. изм.</t>
  </si>
  <si>
    <t>Кол-во единиц</t>
  </si>
  <si>
    <t>Цена на ед. изм.</t>
  </si>
  <si>
    <t>Попра-вочные коэфф.</t>
  </si>
  <si>
    <t>Стоимость в ценах 2001г.</t>
  </si>
  <si>
    <t>Пункт коэфф. пересчета</t>
  </si>
  <si>
    <t>Коэфф. пересчета</t>
  </si>
  <si>
    <t>Стоимость в текущих ценах</t>
  </si>
  <si>
    <t>ЗТР всего чел.-час</t>
  </si>
  <si>
    <t>Составлена в ценах Индексы к ФЕР-2017 (Стройинформресурс) май 2020 года</t>
  </si>
  <si>
    <t>Зарплата</t>
  </si>
  <si>
    <t>НР от ФОТ</t>
  </si>
  <si>
    <t>%</t>
  </si>
  <si>
    <t>СП от ФОТ</t>
  </si>
  <si>
    <t>Затраты труда</t>
  </si>
  <si>
    <t>чел-ч</t>
  </si>
  <si>
    <t xml:space="preserve">   </t>
  </si>
  <si>
    <t xml:space="preserve">Составил  </t>
  </si>
  <si>
    <t>[должность,подпись(инициалы,фамилия)]</t>
  </si>
  <si>
    <t xml:space="preserve">Проверил  </t>
  </si>
  <si>
    <t>Материальные ресурсы</t>
  </si>
  <si>
    <t>Приложение 1</t>
  </si>
  <si>
    <t>к Сводному сметному расчету стоимости</t>
  </si>
  <si>
    <t>Основание: Акт о выходе из строя оборудования от 17.07.2020</t>
  </si>
  <si>
    <t>*0,3</t>
  </si>
  <si>
    <t>Аппаратура телевизионная с 1 малогабаритной беструбочной камерой (Видеокамера цифровая Fractal F1)</t>
  </si>
  <si>
    <t>Итого по локальной смете №1</t>
  </si>
  <si>
    <t>ЛОКАЛЬНАЯ СМЕТА № 1</t>
  </si>
  <si>
    <t>"Оборудование, непригодное для дальнейшего использования, (предназначено в лом) без разборки и резки", таблица 3, приказ Минстроя РФ от 04.09.2019 за № 519/ПР. Коэф. 0,3 на демонтажные работы</t>
  </si>
  <si>
    <t>Приложение 2</t>
  </si>
  <si>
    <t>ЛОКАЛЬНАЯ СМЕТА № 2</t>
  </si>
  <si>
    <t xml:space="preserve">Раздел 1. Монтажные работы и настройка оборудования </t>
  </si>
  <si>
    <t>Итого по разделу 1:</t>
  </si>
  <si>
    <t>Раздел 2 Оборудование</t>
  </si>
  <si>
    <t>шт.</t>
  </si>
  <si>
    <t>Итого по разделу 2:</t>
  </si>
  <si>
    <t>Итого по локальной смете №2</t>
  </si>
  <si>
    <t>Настройка простых сетевых трактов 2 Мбит/сек. или 34 Мбит/сек., последующий (Видеокамера цифровая Fractal F1)</t>
  </si>
  <si>
    <t>Видеокамера цифровая Fractal F1</t>
  </si>
  <si>
    <t xml:space="preserve">Сводный сметный расчет стоимости </t>
  </si>
  <si>
    <t>№       п/п</t>
  </si>
  <si>
    <t>Номера сметных                        расчетов и смет</t>
  </si>
  <si>
    <t>Наименование глав, объектов, работ и затрат</t>
  </si>
  <si>
    <t>общая сметная стоимость</t>
  </si>
  <si>
    <t>строительных работ</t>
  </si>
  <si>
    <t>монтажных работ</t>
  </si>
  <si>
    <t>оборудования</t>
  </si>
  <si>
    <t xml:space="preserve">прочих затрат </t>
  </si>
  <si>
    <t>ГЛАВА 2. Основные объекты строительства</t>
  </si>
  <si>
    <t>Локальная смета № 1</t>
  </si>
  <si>
    <t>Локальная смета № 2</t>
  </si>
  <si>
    <t xml:space="preserve">Монтажные работы </t>
  </si>
  <si>
    <t>Итого по главе 2</t>
  </si>
  <si>
    <t>МДС 81-35.2004 п. 4.96.</t>
  </si>
  <si>
    <t>Резерв средств на непредвиденные работы и затраты 2%</t>
  </si>
  <si>
    <t xml:space="preserve"> -</t>
  </si>
  <si>
    <t>НДС (20%)</t>
  </si>
  <si>
    <t>Итого с НДС</t>
  </si>
  <si>
    <t>Приложение :</t>
  </si>
  <si>
    <t>Локальная смета № 1 на _____л.;</t>
  </si>
  <si>
    <t>Локальная смета № 2 на _____л.;</t>
  </si>
  <si>
    <t>к Заключению по диагностике оборудования</t>
  </si>
  <si>
    <t>демонтажных, монтажных работ и настройки оборудования по ремонту оборудования ТСОН</t>
  </si>
  <si>
    <t>на демонтажные работы по ремонту оборудования ТСОН</t>
  </si>
  <si>
    <t xml:space="preserve">на монтажные работы и настройку оборудования ТСОН по ремонту </t>
  </si>
  <si>
    <t xml:space="preserve">Основание: Акт о выходе из строя оборудования </t>
  </si>
  <si>
    <t>Прайс-лист</t>
  </si>
</sst>
</file>

<file path=xl/styles.xml><?xml version="1.0" encoding="utf-8"?>
<styleSheet xmlns="http://schemas.openxmlformats.org/spreadsheetml/2006/main">
  <numFmts count="3">
    <numFmt numFmtId="172" formatCode="#,##0.00;[Red]\-\ #,##0.00"/>
    <numFmt numFmtId="173" formatCode="#,##0.00####;[Red]\-\ #,##0.00####"/>
    <numFmt numFmtId="174" formatCode="0.00000"/>
  </numFmts>
  <fonts count="38">
    <font>
      <sz val="10"/>
      <name val="Arial"/>
      <charset val="204"/>
    </font>
    <font>
      <b/>
      <sz val="10"/>
      <color indexed="12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b/>
      <u/>
      <sz val="11"/>
      <name val="Arial"/>
      <family val="2"/>
      <charset val="204"/>
    </font>
    <font>
      <sz val="10"/>
      <color indexed="8"/>
      <name val="Arial"/>
      <family val="2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Arial Cyr"/>
      <charset val="204"/>
    </font>
    <font>
      <b/>
      <sz val="10"/>
      <name val="Arial Cyr"/>
      <family val="2"/>
      <charset val="204"/>
    </font>
    <font>
      <b/>
      <sz val="11"/>
      <color indexed="8"/>
      <name val="Arial Cyr"/>
      <family val="2"/>
      <charset val="204"/>
    </font>
    <font>
      <sz val="10"/>
      <name val="Arial CYR"/>
      <family val="2"/>
      <charset val="204"/>
    </font>
    <font>
      <sz val="10"/>
      <color indexed="12"/>
      <name val="Arial Cyr"/>
      <charset val="204"/>
    </font>
    <font>
      <sz val="10"/>
      <color indexed="8"/>
      <name val="Arial Cyr"/>
      <family val="2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9"/>
      <name val="Arial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Helv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1" fillId="0" borderId="0"/>
    <xf numFmtId="0" fontId="33" fillId="0" borderId="0"/>
  </cellStyleXfs>
  <cellXfs count="1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5" fillId="0" borderId="0" xfId="0" applyFont="1"/>
    <xf numFmtId="173" fontId="15" fillId="0" borderId="0" xfId="0" applyNumberFormat="1" applyFont="1"/>
    <xf numFmtId="172" fontId="15" fillId="0" borderId="0" xfId="0" applyNumberFormat="1" applyFont="1"/>
    <xf numFmtId="173" fontId="9" fillId="0" borderId="0" xfId="0" applyNumberFormat="1" applyFont="1"/>
    <xf numFmtId="172" fontId="10" fillId="0" borderId="0" xfId="0" applyNumberFormat="1" applyFont="1"/>
    <xf numFmtId="172" fontId="0" fillId="0" borderId="0" xfId="0" applyNumberFormat="1"/>
    <xf numFmtId="0" fontId="15" fillId="0" borderId="3" xfId="0" applyFont="1" applyBorder="1"/>
    <xf numFmtId="173" fontId="15" fillId="0" borderId="3" xfId="0" applyNumberFormat="1" applyFont="1" applyBorder="1"/>
    <xf numFmtId="172" fontId="15" fillId="0" borderId="3" xfId="0" applyNumberFormat="1" applyFont="1" applyBorder="1"/>
    <xf numFmtId="172" fontId="10" fillId="0" borderId="3" xfId="0" applyNumberFormat="1" applyFont="1" applyBorder="1"/>
    <xf numFmtId="0" fontId="17" fillId="0" borderId="0" xfId="0" applyFont="1"/>
    <xf numFmtId="0" fontId="15" fillId="0" borderId="0" xfId="0" applyFont="1" applyAlignment="1">
      <alignment horizontal="left" wrapText="1"/>
    </xf>
    <xf numFmtId="172" fontId="15" fillId="0" borderId="0" xfId="0" applyNumberFormat="1" applyFont="1" applyAlignment="1">
      <alignment horizontal="right"/>
    </xf>
    <xf numFmtId="0" fontId="11" fillId="0" borderId="0" xfId="0" applyFont="1" applyAlignment="1">
      <alignment vertical="center"/>
    </xf>
    <xf numFmtId="0" fontId="11" fillId="0" borderId="3" xfId="0" applyFont="1" applyBorder="1"/>
    <xf numFmtId="0" fontId="0" fillId="0" borderId="0" xfId="0" applyAlignment="1">
      <alignment wrapText="1"/>
    </xf>
    <xf numFmtId="0" fontId="19" fillId="0" borderId="0" xfId="0" applyFont="1"/>
    <xf numFmtId="4" fontId="0" fillId="0" borderId="0" xfId="0" applyNumberFormat="1"/>
    <xf numFmtId="0" fontId="0" fillId="0" borderId="0" xfId="0" applyAlignment="1">
      <alignment horizontal="right"/>
    </xf>
    <xf numFmtId="0" fontId="15" fillId="0" borderId="0" xfId="0" applyFont="1" applyAlignment="1">
      <alignment vertical="top" wrapText="1"/>
    </xf>
    <xf numFmtId="0" fontId="14" fillId="0" borderId="0" xfId="0" applyFont="1"/>
    <xf numFmtId="0" fontId="1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/>
    <xf numFmtId="0" fontId="0" fillId="0" borderId="0" xfId="0" applyFill="1"/>
    <xf numFmtId="4" fontId="20" fillId="0" borderId="0" xfId="0" applyNumberFormat="1" applyFont="1"/>
    <xf numFmtId="0" fontId="0" fillId="0" borderId="0" xfId="0" applyAlignment="1">
      <alignment vertical="top"/>
    </xf>
    <xf numFmtId="0" fontId="21" fillId="0" borderId="0" xfId="1"/>
    <xf numFmtId="0" fontId="22" fillId="0" borderId="0" xfId="1" applyFont="1"/>
    <xf numFmtId="0" fontId="0" fillId="0" borderId="0" xfId="0" applyAlignment="1"/>
    <xf numFmtId="0" fontId="21" fillId="0" borderId="4" xfId="1" applyBorder="1" applyAlignment="1">
      <alignment horizontal="center" vertical="top" wrapText="1"/>
    </xf>
    <xf numFmtId="0" fontId="21" fillId="0" borderId="7" xfId="1" applyBorder="1"/>
    <xf numFmtId="0" fontId="21" fillId="0" borderId="8" xfId="1" applyBorder="1"/>
    <xf numFmtId="0" fontId="21" fillId="0" borderId="3" xfId="1" applyBorder="1"/>
    <xf numFmtId="0" fontId="21" fillId="0" borderId="9" xfId="1" applyBorder="1"/>
    <xf numFmtId="0" fontId="21" fillId="0" borderId="1" xfId="1" applyFont="1" applyBorder="1" applyAlignment="1">
      <alignment horizontal="center" vertical="top" wrapText="1"/>
    </xf>
    <xf numFmtId="0" fontId="25" fillId="0" borderId="1" xfId="1" applyFont="1" applyBorder="1" applyAlignment="1">
      <alignment horizontal="center" vertical="top" wrapText="1"/>
    </xf>
    <xf numFmtId="0" fontId="21" fillId="0" borderId="1" xfId="1" applyBorder="1" applyAlignment="1">
      <alignment horizontal="center" vertical="top" wrapText="1"/>
    </xf>
    <xf numFmtId="0" fontId="21" fillId="0" borderId="1" xfId="1" applyBorder="1" applyAlignment="1">
      <alignment horizontal="center"/>
    </xf>
    <xf numFmtId="0" fontId="21" fillId="0" borderId="2" xfId="1" applyBorder="1"/>
    <xf numFmtId="0" fontId="21" fillId="0" borderId="6" xfId="1" applyBorder="1"/>
    <xf numFmtId="0" fontId="23" fillId="0" borderId="6" xfId="1" applyFont="1" applyBorder="1"/>
    <xf numFmtId="0" fontId="21" fillId="0" borderId="5" xfId="1" applyBorder="1"/>
    <xf numFmtId="0" fontId="26" fillId="0" borderId="0" xfId="1" applyFont="1" applyAlignment="1">
      <alignment horizontal="right"/>
    </xf>
    <xf numFmtId="0" fontId="21" fillId="0" borderId="1" xfId="1" applyBorder="1" applyAlignment="1">
      <alignment horizontal="center" vertical="center"/>
    </xf>
    <xf numFmtId="0" fontId="21" fillId="0" borderId="2" xfId="1" applyFont="1" applyFill="1" applyBorder="1" applyAlignment="1">
      <alignment vertical="center"/>
    </xf>
    <xf numFmtId="0" fontId="21" fillId="0" borderId="6" xfId="1" applyBorder="1" applyAlignment="1">
      <alignment vertical="top"/>
    </xf>
    <xf numFmtId="0" fontId="21" fillId="0" borderId="5" xfId="1" applyBorder="1" applyAlignment="1">
      <alignment vertical="top"/>
    </xf>
    <xf numFmtId="2" fontId="25" fillId="0" borderId="1" xfId="1" applyNumberFormat="1" applyFont="1" applyBorder="1" applyAlignment="1">
      <alignment horizontal="center" vertical="top"/>
    </xf>
    <xf numFmtId="4" fontId="21" fillId="0" borderId="1" xfId="1" applyNumberFormat="1" applyFill="1" applyBorder="1" applyAlignment="1">
      <alignment horizontal="center" vertical="top"/>
    </xf>
    <xf numFmtId="4" fontId="25" fillId="0" borderId="1" xfId="1" applyNumberFormat="1" applyFont="1" applyFill="1" applyBorder="1" applyAlignment="1">
      <alignment horizontal="center" vertical="top"/>
    </xf>
    <xf numFmtId="4" fontId="21" fillId="0" borderId="1" xfId="1" applyNumberFormat="1" applyBorder="1" applyAlignment="1">
      <alignment horizontal="center" vertical="top"/>
    </xf>
    <xf numFmtId="0" fontId="26" fillId="0" borderId="0" xfId="1" applyFont="1"/>
    <xf numFmtId="174" fontId="21" fillId="0" borderId="0" xfId="1" applyNumberFormat="1"/>
    <xf numFmtId="0" fontId="21" fillId="0" borderId="2" xfId="1" applyBorder="1" applyAlignment="1">
      <alignment vertical="top"/>
    </xf>
    <xf numFmtId="2" fontId="21" fillId="0" borderId="1" xfId="1" applyNumberFormat="1" applyBorder="1" applyAlignment="1">
      <alignment horizontal="center"/>
    </xf>
    <xf numFmtId="2" fontId="21" fillId="0" borderId="1" xfId="1" applyNumberFormat="1" applyBorder="1" applyAlignment="1">
      <alignment horizontal="center" vertical="center"/>
    </xf>
    <xf numFmtId="2" fontId="21" fillId="0" borderId="1" xfId="1" applyNumberFormat="1" applyBorder="1" applyAlignment="1">
      <alignment horizontal="center" vertical="top"/>
    </xf>
    <xf numFmtId="0" fontId="21" fillId="0" borderId="0" xfId="1" applyFont="1"/>
    <xf numFmtId="0" fontId="29" fillId="0" borderId="0" xfId="1" applyFont="1" applyBorder="1" applyAlignment="1">
      <alignment horizontal="right" wrapText="1"/>
    </xf>
    <xf numFmtId="0" fontId="29" fillId="0" borderId="0" xfId="1" applyFont="1" applyBorder="1" applyAlignment="1">
      <alignment horizontal="left" vertical="top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 vertical="top"/>
    </xf>
    <xf numFmtId="0" fontId="21" fillId="0" borderId="0" xfId="1" applyBorder="1" applyAlignment="1">
      <alignment vertical="center" wrapText="1"/>
    </xf>
    <xf numFmtId="0" fontId="21" fillId="0" borderId="0" xfId="1" applyBorder="1" applyAlignment="1">
      <alignment wrapText="1"/>
    </xf>
    <xf numFmtId="0" fontId="31" fillId="0" borderId="0" xfId="1" applyFont="1"/>
    <xf numFmtId="0" fontId="32" fillId="0" borderId="0" xfId="2" applyFont="1" applyFill="1" applyAlignment="1">
      <alignment horizontal="left"/>
    </xf>
    <xf numFmtId="0" fontId="31" fillId="0" borderId="0" xfId="2" applyFont="1"/>
    <xf numFmtId="0" fontId="32" fillId="0" borderId="0" xfId="2" applyFont="1"/>
    <xf numFmtId="0" fontId="31" fillId="0" borderId="0" xfId="2" applyFont="1" applyFill="1" applyAlignment="1">
      <alignment horizontal="left"/>
    </xf>
    <xf numFmtId="0" fontId="31" fillId="0" borderId="0" xfId="2" applyFont="1" applyFill="1"/>
    <xf numFmtId="0" fontId="31" fillId="0" borderId="0" xfId="2" applyFont="1" applyAlignment="1">
      <alignment vertical="top"/>
    </xf>
    <xf numFmtId="0" fontId="34" fillId="0" borderId="0" xfId="2" applyFont="1" applyFill="1" applyAlignment="1">
      <alignment horizontal="left"/>
    </xf>
    <xf numFmtId="0" fontId="35" fillId="0" borderId="0" xfId="2" applyFont="1"/>
    <xf numFmtId="0" fontId="34" fillId="0" borderId="0" xfId="2" applyFont="1"/>
    <xf numFmtId="0" fontId="35" fillId="0" borderId="0" xfId="2" applyFont="1" applyFill="1" applyAlignment="1">
      <alignment horizontal="left"/>
    </xf>
    <xf numFmtId="0" fontId="15" fillId="0" borderId="0" xfId="2" applyFont="1"/>
    <xf numFmtId="0" fontId="36" fillId="0" borderId="0" xfId="2" applyFont="1"/>
    <xf numFmtId="0" fontId="35" fillId="0" borderId="0" xfId="2" applyFont="1" applyFill="1"/>
    <xf numFmtId="0" fontId="35" fillId="0" borderId="0" xfId="2" applyFont="1" applyAlignment="1">
      <alignment vertical="top"/>
    </xf>
    <xf numFmtId="4" fontId="25" fillId="0" borderId="0" xfId="1" applyNumberFormat="1" applyFont="1"/>
    <xf numFmtId="4" fontId="37" fillId="0" borderId="0" xfId="1" applyNumberFormat="1" applyFont="1"/>
    <xf numFmtId="0" fontId="21" fillId="0" borderId="0" xfId="1" applyFont="1" applyAlignment="1">
      <alignment horizontal="center"/>
    </xf>
    <xf numFmtId="2" fontId="0" fillId="0" borderId="0" xfId="0" applyNumberFormat="1"/>
    <xf numFmtId="0" fontId="21" fillId="0" borderId="0" xfId="1" applyFont="1" applyAlignment="1">
      <alignment horizontal="right"/>
    </xf>
    <xf numFmtId="0" fontId="21" fillId="0" borderId="0" xfId="1" applyAlignment="1">
      <alignment horizontal="right"/>
    </xf>
    <xf numFmtId="0" fontId="0" fillId="0" borderId="0" xfId="0" applyAlignment="1">
      <alignment horizontal="center"/>
    </xf>
    <xf numFmtId="0" fontId="23" fillId="0" borderId="0" xfId="1" applyFont="1" applyAlignment="1">
      <alignment horizontal="center" vertical="top" wrapText="1"/>
    </xf>
    <xf numFmtId="0" fontId="24" fillId="0" borderId="0" xfId="1" applyFont="1" applyAlignment="1">
      <alignment horizontal="center" vertical="top" wrapText="1"/>
    </xf>
    <xf numFmtId="0" fontId="11" fillId="0" borderId="3" xfId="0" applyFont="1" applyBorder="1" applyAlignment="1">
      <alignment horizontal="left"/>
    </xf>
    <xf numFmtId="0" fontId="9" fillId="0" borderId="10" xfId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0" fontId="21" fillId="0" borderId="10" xfId="1" applyBorder="1" applyAlignment="1">
      <alignment vertical="top"/>
    </xf>
    <xf numFmtId="0" fontId="21" fillId="0" borderId="11" xfId="1" applyBorder="1" applyAlignment="1">
      <alignment vertical="top"/>
    </xf>
    <xf numFmtId="0" fontId="21" fillId="0" borderId="12" xfId="1" applyBorder="1" applyAlignment="1">
      <alignment vertical="top"/>
    </xf>
    <xf numFmtId="0" fontId="21" fillId="0" borderId="2" xfId="1" applyFont="1" applyBorder="1" applyAlignment="1">
      <alignment horizontal="center" vertical="top"/>
    </xf>
    <xf numFmtId="0" fontId="21" fillId="0" borderId="6" xfId="1" applyBorder="1" applyAlignment="1">
      <alignment horizontal="center" vertical="top"/>
    </xf>
    <xf numFmtId="0" fontId="21" fillId="0" borderId="5" xfId="1" applyBorder="1" applyAlignment="1">
      <alignment horizontal="center" vertical="top"/>
    </xf>
    <xf numFmtId="0" fontId="21" fillId="0" borderId="2" xfId="1" applyBorder="1" applyAlignment="1">
      <alignment horizontal="center"/>
    </xf>
    <xf numFmtId="0" fontId="21" fillId="0" borderId="6" xfId="1" applyBorder="1" applyAlignment="1">
      <alignment horizontal="center"/>
    </xf>
    <xf numFmtId="0" fontId="21" fillId="0" borderId="5" xfId="1" applyBorder="1" applyAlignment="1">
      <alignment horizontal="center"/>
    </xf>
    <xf numFmtId="0" fontId="27" fillId="0" borderId="2" xfId="1" applyFont="1" applyBorder="1" applyAlignment="1">
      <alignment vertical="top" wrapText="1"/>
    </xf>
    <xf numFmtId="0" fontId="27" fillId="0" borderId="6" xfId="1" applyFont="1" applyBorder="1" applyAlignment="1">
      <alignment vertical="top" wrapText="1"/>
    </xf>
    <xf numFmtId="0" fontId="27" fillId="0" borderId="5" xfId="1" applyFont="1" applyBorder="1" applyAlignment="1">
      <alignment vertical="top" wrapText="1"/>
    </xf>
    <xf numFmtId="0" fontId="21" fillId="0" borderId="2" xfId="1" applyBorder="1" applyAlignment="1">
      <alignment vertical="center" wrapText="1"/>
    </xf>
    <xf numFmtId="0" fontId="21" fillId="0" borderId="6" xfId="1" applyBorder="1" applyAlignment="1">
      <alignment wrapText="1"/>
    </xf>
    <xf numFmtId="0" fontId="21" fillId="0" borderId="5" xfId="1" applyBorder="1" applyAlignment="1">
      <alignment wrapText="1"/>
    </xf>
    <xf numFmtId="0" fontId="28" fillId="0" borderId="2" xfId="1" applyFont="1" applyBorder="1" applyAlignment="1">
      <alignment horizontal="center" vertical="top"/>
    </xf>
    <xf numFmtId="0" fontId="28" fillId="0" borderId="6" xfId="1" applyFont="1" applyBorder="1" applyAlignment="1">
      <alignment horizontal="center" vertical="top"/>
    </xf>
    <xf numFmtId="0" fontId="28" fillId="0" borderId="5" xfId="1" applyFont="1" applyBorder="1" applyAlignment="1">
      <alignment horizontal="center" vertical="top"/>
    </xf>
    <xf numFmtId="0" fontId="29" fillId="0" borderId="0" xfId="1" applyFont="1" applyBorder="1" applyAlignment="1">
      <alignment horizontal="right" wrapText="1"/>
    </xf>
    <xf numFmtId="0" fontId="21" fillId="0" borderId="2" xfId="1" applyFill="1" applyBorder="1" applyAlignment="1">
      <alignment vertical="center" wrapText="1"/>
    </xf>
    <xf numFmtId="0" fontId="21" fillId="0" borderId="6" xfId="1" applyFill="1" applyBorder="1" applyAlignment="1">
      <alignment vertical="center" wrapText="1"/>
    </xf>
    <xf numFmtId="0" fontId="21" fillId="0" borderId="5" xfId="1" applyFill="1" applyBorder="1" applyAlignment="1">
      <alignment vertical="center" wrapText="1"/>
    </xf>
    <xf numFmtId="0" fontId="21" fillId="0" borderId="2" xfId="1" applyBorder="1" applyAlignment="1">
      <alignment vertical="top" wrapText="1"/>
    </xf>
    <xf numFmtId="0" fontId="21" fillId="0" borderId="6" xfId="1" applyBorder="1" applyAlignment="1">
      <alignment vertical="top" wrapText="1"/>
    </xf>
    <xf numFmtId="0" fontId="21" fillId="0" borderId="5" xfId="1" applyBorder="1" applyAlignment="1">
      <alignment vertical="top" wrapText="1"/>
    </xf>
    <xf numFmtId="0" fontId="25" fillId="0" borderId="2" xfId="1" applyFont="1" applyFill="1" applyBorder="1" applyAlignment="1">
      <alignment vertical="center" wrapText="1"/>
    </xf>
    <xf numFmtId="0" fontId="25" fillId="0" borderId="6" xfId="1" applyFont="1" applyFill="1" applyBorder="1" applyAlignment="1">
      <alignment wrapText="1"/>
    </xf>
    <xf numFmtId="0" fontId="25" fillId="0" borderId="5" xfId="1" applyFont="1" applyFill="1" applyBorder="1" applyAlignment="1">
      <alignment wrapText="1"/>
    </xf>
    <xf numFmtId="0" fontId="21" fillId="0" borderId="2" xfId="1" applyFont="1" applyBorder="1" applyAlignment="1">
      <alignment horizontal="center" vertical="top" wrapText="1"/>
    </xf>
    <xf numFmtId="0" fontId="21" fillId="0" borderId="6" xfId="1" applyFont="1" applyBorder="1" applyAlignment="1">
      <alignment horizontal="center" vertical="top" wrapText="1"/>
    </xf>
    <xf numFmtId="0" fontId="21" fillId="0" borderId="5" xfId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5" fillId="0" borderId="0" xfId="0" applyFont="1" applyAlignment="1">
      <alignment horizontal="left" vertical="top" wrapText="1"/>
    </xf>
    <xf numFmtId="0" fontId="11" fillId="0" borderId="0" xfId="0" applyFont="1"/>
    <xf numFmtId="0" fontId="11" fillId="0" borderId="0" xfId="0" applyFont="1" applyAlignment="1">
      <alignment horizontal="right"/>
    </xf>
    <xf numFmtId="172" fontId="16" fillId="0" borderId="0" xfId="0" applyNumberFormat="1" applyFont="1" applyAlignment="1">
      <alignment horizontal="right"/>
    </xf>
    <xf numFmtId="172" fontId="1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left" wrapText="1"/>
    </xf>
    <xf numFmtId="172" fontId="15" fillId="0" borderId="0" xfId="0" applyNumberFormat="1" applyFont="1" applyAlignment="1">
      <alignment horizontal="right"/>
    </xf>
    <xf numFmtId="0" fontId="13" fillId="0" borderId="11" xfId="0" applyFont="1" applyBorder="1" applyAlignment="1">
      <alignment horizontal="center" vertical="top"/>
    </xf>
  </cellXfs>
  <cellStyles count="3">
    <cellStyle name="Обычный" xfId="0" builtinId="0"/>
    <cellStyle name="Обычный_ССР 3этап" xfId="1"/>
    <cellStyle name="Стиль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480060</xdr:colOff>
      <xdr:row>16</xdr:row>
      <xdr:rowOff>403860</xdr:rowOff>
    </xdr:from>
    <xdr:to>
      <xdr:col>14</xdr:col>
      <xdr:colOff>685800</xdr:colOff>
      <xdr:row>16</xdr:row>
      <xdr:rowOff>548640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11544300" y="4419600"/>
          <a:ext cx="205740" cy="0"/>
        </a:xfrm>
        <a:prstGeom prst="flowChartExtra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480060</xdr:colOff>
      <xdr:row>16</xdr:row>
      <xdr:rowOff>403860</xdr:rowOff>
    </xdr:from>
    <xdr:to>
      <xdr:col>14</xdr:col>
      <xdr:colOff>685800</xdr:colOff>
      <xdr:row>16</xdr:row>
      <xdr:rowOff>548640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11544300" y="4419600"/>
          <a:ext cx="205740" cy="0"/>
        </a:xfrm>
        <a:prstGeom prst="flowChartExtra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ba\luba%20doc\Luba%20Doc\&#1044;&#1086;&#1075;&#1086;&#1074;&#1086;&#1088;&#1072;%202018\&#1041;&#1072;&#1088;&#1085;&#1072;&#1091;&#1083;%20&#1058;&#1057;&#1054;&#1053;\&#1044;&#1086;&#1082;&#1091;&#1084;&#1077;&#1085;&#1090;&#1099;%20&#1082;%20&#1087;&#1088;&#1086;&#1077;&#1082;&#1090;&#1091;\&#1057;&#1084;&#1077;&#1090;&#1072;%20-%20&#1089;&#1086;&#1079;&#1076;&#1072;&#1085;&#1080;&#1077;%20&#1058;&#1057;&#1054;&#1053;%20&#1052;&#1086;&#1083;&#1086;&#1076;&#1077;&#1078;&#1085;&#1072;&#1103;%20&#1087;&#1086;&#1089;&#1083;&#1077;%20&#1041;&#1072;&#1088;&#1085;&#1072;&#1091;&#1083;-6%202%20(&#1089;%20&#1053;&#1044;&#1057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ИТСО для заполнения"/>
      <sheetName val="расшиф к тэп"/>
      <sheetName val="МТТ( оборудование)"/>
      <sheetName val="МТТ(ПП)"/>
      <sheetName val="Аспект G"/>
      <sheetName val="ССР 2001"/>
      <sheetName val="ССР"/>
      <sheetName val="Смета 12 гр. по ФЕР"/>
      <sheetName val="Source"/>
      <sheetName val="SourceObSm"/>
      <sheetName val="SmtRes"/>
      <sheetName val="Etalon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E10">
            <v>24488669.530000001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view="pageLayout" topLeftCell="A17" zoomScale="70" zoomScaleNormal="100" zoomScalePageLayoutView="70" workbookViewId="0">
      <selection activeCell="E13" sqref="E13:H13"/>
    </sheetView>
  </sheetViews>
  <sheetFormatPr defaultColWidth="9.109375" defaultRowHeight="13.2"/>
  <cols>
    <col min="1" max="1" width="5" style="48" customWidth="1"/>
    <col min="2" max="2" width="9.109375" style="48"/>
    <col min="3" max="3" width="10.44140625" style="48" customWidth="1"/>
    <col min="4" max="4" width="13.109375" style="48" customWidth="1"/>
    <col min="5" max="5" width="11.5546875" style="48" customWidth="1"/>
    <col min="6" max="7" width="9.109375" style="48"/>
    <col min="8" max="8" width="12.5546875" style="48" customWidth="1"/>
    <col min="9" max="9" width="9.33203125" style="48" customWidth="1"/>
    <col min="10" max="10" width="13.33203125" style="48" customWidth="1"/>
    <col min="11" max="11" width="14" style="48" customWidth="1"/>
    <col min="12" max="12" width="11.88671875" style="48" customWidth="1"/>
    <col min="13" max="13" width="14.6640625" style="48" customWidth="1"/>
    <col min="14" max="14" width="18.109375" style="48" customWidth="1"/>
    <col min="15" max="15" width="11" style="48" customWidth="1"/>
    <col min="16" max="16" width="13.6640625" style="48" bestFit="1" customWidth="1"/>
    <col min="17" max="16384" width="9.109375" style="48"/>
  </cols>
  <sheetData>
    <row r="1" spans="1:16">
      <c r="K1" s="105" t="s">
        <v>217</v>
      </c>
      <c r="L1" s="106"/>
      <c r="M1" s="106"/>
    </row>
    <row r="2" spans="1:16">
      <c r="E2" s="49" t="e">
        <f>#REF!-[1]ССР!$E$10/1000</f>
        <v>#REF!</v>
      </c>
      <c r="J2" s="107" t="s">
        <v>257</v>
      </c>
      <c r="K2" s="107"/>
      <c r="L2" s="107"/>
      <c r="M2" s="107"/>
      <c r="N2" s="50"/>
    </row>
    <row r="5" spans="1:16" ht="12.75" customHeight="1">
      <c r="A5" s="108" t="s">
        <v>235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16" ht="28.5" customHeight="1">
      <c r="A6" s="109" t="s">
        <v>258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</row>
    <row r="7" spans="1:16" ht="9.75" customHeight="1"/>
    <row r="8" spans="1:16" ht="16.5" customHeight="1">
      <c r="B8" s="110" t="s">
        <v>205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</row>
    <row r="9" spans="1:16" ht="28.5" customHeight="1">
      <c r="A9" s="51" t="s">
        <v>236</v>
      </c>
      <c r="B9" s="111" t="s">
        <v>237</v>
      </c>
      <c r="C9" s="112"/>
      <c r="D9" s="113"/>
      <c r="E9" s="114" t="s">
        <v>238</v>
      </c>
      <c r="F9" s="115"/>
      <c r="G9" s="115"/>
      <c r="H9" s="116"/>
      <c r="I9" s="117" t="s">
        <v>184</v>
      </c>
      <c r="J9" s="118"/>
      <c r="K9" s="118"/>
      <c r="L9" s="119"/>
      <c r="M9" s="51" t="s">
        <v>239</v>
      </c>
    </row>
    <row r="10" spans="1:16" ht="39.6">
      <c r="A10" s="52"/>
      <c r="B10" s="53"/>
      <c r="C10" s="54"/>
      <c r="D10" s="55"/>
      <c r="E10" s="53"/>
      <c r="F10" s="54"/>
      <c r="G10" s="54"/>
      <c r="H10" s="55"/>
      <c r="I10" s="56" t="s">
        <v>240</v>
      </c>
      <c r="J10" s="56" t="s">
        <v>241</v>
      </c>
      <c r="K10" s="57" t="s">
        <v>242</v>
      </c>
      <c r="L10" s="58" t="s">
        <v>243</v>
      </c>
      <c r="M10" s="52"/>
    </row>
    <row r="11" spans="1:16">
      <c r="A11" s="59">
        <v>1</v>
      </c>
      <c r="B11" s="120">
        <v>2</v>
      </c>
      <c r="C11" s="121"/>
      <c r="D11" s="122"/>
      <c r="E11" s="120">
        <v>3</v>
      </c>
      <c r="F11" s="121"/>
      <c r="G11" s="121"/>
      <c r="H11" s="122"/>
      <c r="I11" s="59">
        <v>4</v>
      </c>
      <c r="J11" s="59">
        <v>5</v>
      </c>
      <c r="K11" s="59">
        <v>6</v>
      </c>
      <c r="L11" s="59">
        <v>7</v>
      </c>
      <c r="M11" s="59">
        <v>8</v>
      </c>
    </row>
    <row r="12" spans="1:16">
      <c r="A12" s="60"/>
      <c r="B12" s="61"/>
      <c r="C12" s="61"/>
      <c r="D12" s="61"/>
      <c r="E12" s="62" t="s">
        <v>244</v>
      </c>
      <c r="F12" s="61"/>
      <c r="G12" s="61"/>
      <c r="H12" s="61"/>
      <c r="I12" s="61"/>
      <c r="J12" s="61"/>
      <c r="K12" s="61"/>
      <c r="L12" s="61"/>
      <c r="M12" s="63"/>
      <c r="N12" s="64"/>
    </row>
    <row r="13" spans="1:16" ht="52.5" customHeight="1">
      <c r="A13" s="65">
        <v>1</v>
      </c>
      <c r="B13" s="66" t="s">
        <v>245</v>
      </c>
      <c r="C13" s="67"/>
      <c r="D13" s="68"/>
      <c r="E13" s="123" t="s">
        <v>12</v>
      </c>
      <c r="F13" s="124"/>
      <c r="G13" s="124"/>
      <c r="H13" s="125"/>
      <c r="I13" s="69">
        <v>0</v>
      </c>
      <c r="J13" s="70">
        <f>'Смета 12 гр. по ФЕР'!J39:K39</f>
        <v>3302.77</v>
      </c>
      <c r="K13" s="71"/>
      <c r="L13" s="72"/>
      <c r="M13" s="72">
        <f>J13+K13+I13</f>
        <v>3302.77</v>
      </c>
      <c r="N13" s="73"/>
      <c r="P13" s="74"/>
    </row>
    <row r="14" spans="1:16" ht="56.25" customHeight="1">
      <c r="A14" s="65">
        <v>2</v>
      </c>
      <c r="B14" s="66" t="s">
        <v>246</v>
      </c>
      <c r="C14" s="67"/>
      <c r="D14" s="68"/>
      <c r="E14" s="123" t="s">
        <v>247</v>
      </c>
      <c r="F14" s="124"/>
      <c r="G14" s="124"/>
      <c r="H14" s="125"/>
      <c r="I14" s="69"/>
      <c r="J14" s="70">
        <f>'Смета 12 гр. по ФЕР'!J91:K91</f>
        <v>15597.32</v>
      </c>
      <c r="K14" s="71">
        <f>'Смета 12 гр. по ФЕР'!H100</f>
        <v>35574.58</v>
      </c>
      <c r="L14" s="72"/>
      <c r="M14" s="72">
        <f>J14+K14</f>
        <v>51171.9</v>
      </c>
      <c r="N14" s="73"/>
      <c r="P14" s="74"/>
    </row>
    <row r="15" spans="1:16">
      <c r="A15" s="59">
        <v>3</v>
      </c>
      <c r="B15" s="61"/>
      <c r="C15" s="61"/>
      <c r="D15" s="63"/>
      <c r="E15" s="75" t="s">
        <v>248</v>
      </c>
      <c r="F15" s="67"/>
      <c r="G15" s="67"/>
      <c r="H15" s="68"/>
      <c r="I15" s="76">
        <f>I13</f>
        <v>0</v>
      </c>
      <c r="J15" s="72">
        <f>SUM(J13:J14)</f>
        <v>18900.09</v>
      </c>
      <c r="K15" s="72">
        <f>K14</f>
        <v>35574.58</v>
      </c>
      <c r="L15" s="72"/>
      <c r="M15" s="72">
        <f>J15+K15</f>
        <v>54474.67</v>
      </c>
    </row>
    <row r="16" spans="1:16" ht="33" hidden="1" customHeight="1">
      <c r="A16" s="65">
        <v>5</v>
      </c>
      <c r="B16" s="133" t="s">
        <v>249</v>
      </c>
      <c r="C16" s="134"/>
      <c r="D16" s="135"/>
      <c r="E16" s="136" t="s">
        <v>250</v>
      </c>
      <c r="F16" s="137"/>
      <c r="G16" s="137"/>
      <c r="H16" s="138"/>
      <c r="I16" s="77" t="s">
        <v>251</v>
      </c>
      <c r="J16" s="78" t="e">
        <f>#REF!*0</f>
        <v>#REF!</v>
      </c>
      <c r="K16" s="78" t="e">
        <f>#REF!*0</f>
        <v>#REF!</v>
      </c>
      <c r="L16" s="78" t="e">
        <f>#REF!*0</f>
        <v>#REF!</v>
      </c>
      <c r="M16" s="78" t="e">
        <f>#REF!*0</f>
        <v>#REF!</v>
      </c>
    </row>
    <row r="17" spans="1:15" customFormat="1">
      <c r="A17" s="65">
        <v>4</v>
      </c>
      <c r="B17" s="139"/>
      <c r="C17" s="140"/>
      <c r="D17" s="141"/>
      <c r="E17" s="142" t="s">
        <v>252</v>
      </c>
      <c r="F17" s="143"/>
      <c r="G17" s="143"/>
      <c r="H17" s="144"/>
      <c r="I17" s="78"/>
      <c r="J17" s="72">
        <f>J15*0.2</f>
        <v>3780.018</v>
      </c>
      <c r="K17" s="72">
        <f>K15*0.2</f>
        <v>7114.9160000000011</v>
      </c>
      <c r="L17" s="72"/>
      <c r="M17" s="72">
        <f>M15*0.2</f>
        <v>10894.934000000001</v>
      </c>
      <c r="N17" s="48"/>
      <c r="O17" s="48"/>
    </row>
    <row r="18" spans="1:15" customFormat="1">
      <c r="A18" s="65">
        <v>5</v>
      </c>
      <c r="B18" s="126"/>
      <c r="C18" s="127"/>
      <c r="D18" s="128"/>
      <c r="E18" s="129" t="s">
        <v>253</v>
      </c>
      <c r="F18" s="130"/>
      <c r="G18" s="130"/>
      <c r="H18" s="131"/>
      <c r="I18" s="78"/>
      <c r="J18" s="72">
        <f>J15+J17</f>
        <v>22680.108</v>
      </c>
      <c r="K18" s="72">
        <f>K15+K17</f>
        <v>42689.495999999999</v>
      </c>
      <c r="L18" s="72"/>
      <c r="M18" s="72">
        <f>M15+M17</f>
        <v>65369.603999999999</v>
      </c>
      <c r="N18" s="74"/>
      <c r="O18" s="48"/>
    </row>
    <row r="20" spans="1:15">
      <c r="D20" s="79"/>
    </row>
    <row r="21" spans="1:15" customFormat="1" ht="12.75" customHeight="1">
      <c r="C21" s="132" t="s">
        <v>254</v>
      </c>
      <c r="D21" s="132"/>
      <c r="E21" s="80"/>
      <c r="F21" s="81"/>
      <c r="G21" s="82" t="s">
        <v>255</v>
      </c>
      <c r="H21" s="83"/>
    </row>
    <row r="22" spans="1:15" customFormat="1" ht="12.75" customHeight="1">
      <c r="C22" s="80"/>
      <c r="D22" s="80"/>
      <c r="E22" s="80"/>
      <c r="F22" s="81"/>
      <c r="G22" s="82" t="s">
        <v>256</v>
      </c>
      <c r="H22" s="83"/>
    </row>
    <row r="23" spans="1:15" customFormat="1">
      <c r="C23" s="84"/>
      <c r="D23" s="85"/>
      <c r="E23" s="85"/>
      <c r="F23" s="81"/>
      <c r="G23" s="82"/>
      <c r="H23" s="83"/>
    </row>
    <row r="24" spans="1:15">
      <c r="J24" s="79"/>
    </row>
    <row r="25" spans="1:15" customFormat="1" ht="15.6">
      <c r="A25" s="86"/>
      <c r="B25" s="86"/>
      <c r="C25" s="87"/>
      <c r="D25" s="88"/>
      <c r="E25" s="86"/>
      <c r="F25" s="86"/>
      <c r="G25" s="86"/>
      <c r="H25" s="86"/>
      <c r="I25" s="86"/>
      <c r="J25" s="89"/>
      <c r="K25" s="89"/>
      <c r="L25" s="88"/>
      <c r="M25" s="88"/>
    </row>
    <row r="26" spans="1:15" customFormat="1" ht="15.6">
      <c r="A26" s="86"/>
      <c r="B26" s="86"/>
      <c r="C26" s="90"/>
      <c r="D26" s="88"/>
      <c r="E26" s="86"/>
      <c r="F26" s="86"/>
      <c r="G26" s="86"/>
      <c r="H26" s="86"/>
      <c r="I26" s="86"/>
      <c r="J26" s="88"/>
      <c r="K26" s="88"/>
      <c r="L26" s="88"/>
      <c r="M26" s="88"/>
    </row>
    <row r="27" spans="1:15" customFormat="1" ht="15.6">
      <c r="A27" s="86"/>
      <c r="B27" s="86"/>
      <c r="C27" s="90"/>
      <c r="D27" s="88"/>
      <c r="E27" s="86"/>
      <c r="F27" s="86"/>
      <c r="G27" s="86"/>
      <c r="H27" s="86"/>
      <c r="I27" s="86"/>
      <c r="J27" s="88"/>
      <c r="K27" s="88"/>
      <c r="L27" s="88"/>
      <c r="M27" s="88"/>
    </row>
    <row r="28" spans="1:15" customFormat="1" ht="15.6">
      <c r="A28" s="86"/>
      <c r="B28" s="86"/>
      <c r="C28" s="90"/>
      <c r="D28" s="88"/>
      <c r="E28" s="86"/>
      <c r="F28" s="86"/>
      <c r="G28" s="86"/>
      <c r="H28" s="86"/>
      <c r="I28" s="86"/>
      <c r="J28" s="88"/>
      <c r="K28" s="88"/>
      <c r="L28" s="88"/>
      <c r="M28" s="88"/>
    </row>
    <row r="29" spans="1:15" customFormat="1" ht="15.6">
      <c r="A29" s="86"/>
      <c r="B29" s="86"/>
      <c r="C29" s="90"/>
      <c r="D29" s="88"/>
      <c r="E29" s="86"/>
      <c r="F29" s="86"/>
      <c r="G29" s="86"/>
      <c r="H29" s="86"/>
      <c r="I29" s="86"/>
      <c r="J29" s="88"/>
      <c r="K29" s="88"/>
      <c r="L29" s="88"/>
      <c r="M29" s="88"/>
    </row>
    <row r="30" spans="1:15" customFormat="1" ht="15.6">
      <c r="A30" s="86"/>
      <c r="B30" s="86"/>
      <c r="C30" s="91"/>
      <c r="D30" s="92"/>
      <c r="E30" s="86"/>
      <c r="F30" s="86"/>
      <c r="G30" s="86"/>
      <c r="H30" s="86"/>
      <c r="I30" s="86"/>
      <c r="J30" s="88"/>
      <c r="K30" s="88"/>
      <c r="L30" s="88"/>
      <c r="M30" s="88"/>
    </row>
    <row r="33" spans="3:11" customFormat="1" ht="13.8">
      <c r="C33" s="93"/>
      <c r="D33" s="94"/>
      <c r="E33" s="48"/>
      <c r="F33" s="48"/>
      <c r="G33" s="48"/>
      <c r="H33" s="48"/>
      <c r="I33" s="48"/>
      <c r="J33" s="95"/>
      <c r="K33" s="95"/>
    </row>
    <row r="34" spans="3:11" customFormat="1" ht="13.8">
      <c r="C34" s="96"/>
      <c r="D34" s="94"/>
      <c r="E34" s="48"/>
      <c r="F34" s="48"/>
      <c r="G34" s="48"/>
      <c r="H34" s="48"/>
      <c r="I34" s="48"/>
      <c r="J34" s="97"/>
      <c r="K34" s="97"/>
    </row>
    <row r="35" spans="3:11" customFormat="1" ht="13.8">
      <c r="C35" s="96"/>
      <c r="D35" s="94"/>
      <c r="E35" s="48"/>
      <c r="F35" s="48"/>
      <c r="G35" s="48"/>
      <c r="H35" s="48"/>
      <c r="I35" s="48"/>
      <c r="J35" s="97"/>
      <c r="K35" s="98"/>
    </row>
    <row r="36" spans="3:11" customFormat="1" ht="13.8">
      <c r="C36" s="96"/>
      <c r="D36" s="94"/>
      <c r="E36" s="48"/>
      <c r="F36" s="48"/>
      <c r="G36" s="48"/>
      <c r="H36" s="48"/>
      <c r="I36" s="48"/>
      <c r="J36" s="94"/>
      <c r="K36" s="94"/>
    </row>
    <row r="37" spans="3:11" customFormat="1" ht="13.8">
      <c r="C37" s="96"/>
      <c r="D37" s="94"/>
      <c r="E37" s="48"/>
      <c r="F37" s="48"/>
      <c r="G37" s="48"/>
      <c r="H37" s="48"/>
      <c r="I37" s="48"/>
      <c r="J37" s="94"/>
      <c r="K37" s="94"/>
    </row>
    <row r="38" spans="3:11" customFormat="1" ht="13.8">
      <c r="C38" s="99"/>
      <c r="D38" s="100"/>
      <c r="E38" s="48"/>
      <c r="F38" s="48"/>
      <c r="G38" s="48"/>
      <c r="H38" s="48"/>
      <c r="I38" s="48"/>
      <c r="J38" s="94"/>
      <c r="K38" s="94"/>
    </row>
    <row r="39" spans="3:11">
      <c r="D39" s="101"/>
      <c r="E39" s="102"/>
      <c r="F39" s="102"/>
      <c r="J39" s="103"/>
    </row>
  </sheetData>
  <mergeCells count="20">
    <mergeCell ref="E14:H14"/>
    <mergeCell ref="B18:D18"/>
    <mergeCell ref="E18:H18"/>
    <mergeCell ref="C21:D21"/>
    <mergeCell ref="B16:D16"/>
    <mergeCell ref="E16:H16"/>
    <mergeCell ref="B17:D17"/>
    <mergeCell ref="E17:H17"/>
    <mergeCell ref="B9:D9"/>
    <mergeCell ref="E9:H9"/>
    <mergeCell ref="I9:L9"/>
    <mergeCell ref="B11:D11"/>
    <mergeCell ref="E11:H11"/>
    <mergeCell ref="E13:H13"/>
    <mergeCell ref="K1:M1"/>
    <mergeCell ref="J2:M2"/>
    <mergeCell ref="A5:M5"/>
    <mergeCell ref="N5:O5"/>
    <mergeCell ref="A6:M6"/>
    <mergeCell ref="B8:M8"/>
  </mergeCells>
  <phoneticPr fontId="0" type="noConversion"/>
  <pageMargins left="0.42" right="0.21" top="0.42" bottom="0.33" header="0.28999999999999998" footer="0.26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1"/>
  <sheetViews>
    <sheetView tabSelected="1" zoomScale="70" zoomScaleNormal="70" workbookViewId="0">
      <selection activeCell="C102" sqref="C102"/>
    </sheetView>
  </sheetViews>
  <sheetFormatPr defaultRowHeight="13.2"/>
  <cols>
    <col min="1" max="1" width="5.6640625" customWidth="1"/>
    <col min="2" max="2" width="15" customWidth="1"/>
    <col min="3" max="3" width="41.88671875" customWidth="1"/>
    <col min="4" max="5" width="10.6640625" customWidth="1"/>
    <col min="6" max="8" width="12.6640625" customWidth="1"/>
    <col min="9" max="9" width="17.6640625" customWidth="1"/>
    <col min="10" max="10" width="11.33203125" customWidth="1"/>
    <col min="11" max="11" width="12.6640625" customWidth="1"/>
    <col min="12" max="12" width="8.6640625" customWidth="1"/>
  </cols>
  <sheetData>
    <row r="1" spans="1:12">
      <c r="J1" s="107" t="s">
        <v>217</v>
      </c>
      <c r="K1" s="107"/>
      <c r="L1" s="107"/>
    </row>
    <row r="2" spans="1:12">
      <c r="H2" s="153" t="s">
        <v>218</v>
      </c>
      <c r="I2" s="153"/>
      <c r="J2" s="153"/>
      <c r="K2" s="153"/>
    </row>
    <row r="3" spans="1:12">
      <c r="H3" s="39"/>
      <c r="I3" s="39"/>
      <c r="J3" s="39"/>
      <c r="K3" s="39"/>
    </row>
    <row r="4" spans="1:12" ht="15.6">
      <c r="A4" s="14"/>
      <c r="B4" s="154" t="s">
        <v>223</v>
      </c>
      <c r="C4" s="154"/>
      <c r="D4" s="154"/>
      <c r="E4" s="154"/>
      <c r="F4" s="154"/>
      <c r="G4" s="154"/>
      <c r="H4" s="154"/>
      <c r="I4" s="154"/>
      <c r="J4" s="154"/>
      <c r="K4" s="154"/>
      <c r="L4" s="14"/>
    </row>
    <row r="5" spans="1:12" ht="15.6">
      <c r="A5" s="14"/>
      <c r="B5" s="12"/>
      <c r="C5" s="12"/>
      <c r="D5" s="12"/>
      <c r="E5" s="12"/>
      <c r="F5" s="12"/>
      <c r="G5" s="12"/>
      <c r="H5" s="12"/>
      <c r="I5" s="12"/>
      <c r="J5" s="12"/>
      <c r="K5" s="12"/>
      <c r="L5" s="14"/>
    </row>
    <row r="6" spans="1:12" ht="32.25" customHeight="1">
      <c r="A6" s="13"/>
      <c r="B6" s="145" t="s">
        <v>259</v>
      </c>
      <c r="C6" s="145"/>
      <c r="D6" s="145"/>
      <c r="E6" s="145"/>
      <c r="F6" s="145"/>
      <c r="G6" s="145"/>
      <c r="H6" s="145"/>
      <c r="I6" s="145"/>
      <c r="J6" s="145"/>
      <c r="K6" s="145"/>
      <c r="L6" s="15"/>
    </row>
    <row r="7" spans="1:12" ht="13.8">
      <c r="A7" s="13"/>
      <c r="B7" s="146" t="s">
        <v>181</v>
      </c>
      <c r="C7" s="146"/>
      <c r="D7" s="146"/>
      <c r="E7" s="146"/>
      <c r="F7" s="146"/>
      <c r="G7" s="146"/>
      <c r="H7" s="146"/>
      <c r="I7" s="146"/>
      <c r="J7" s="146"/>
      <c r="K7" s="146"/>
      <c r="L7" s="11"/>
    </row>
    <row r="8" spans="1:12" ht="13.8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3.8">
      <c r="A9" s="147" t="s">
        <v>219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</row>
    <row r="10" spans="1:12" ht="13.8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3.8">
      <c r="A11" s="13"/>
      <c r="B11" s="13"/>
      <c r="C11" s="13"/>
      <c r="D11" s="13"/>
      <c r="E11" s="16"/>
      <c r="F11" s="16"/>
      <c r="G11" s="155" t="s">
        <v>182</v>
      </c>
      <c r="H11" s="155"/>
      <c r="I11" s="156" t="s">
        <v>183</v>
      </c>
      <c r="J11" s="156"/>
      <c r="K11" s="13"/>
      <c r="L11" s="13"/>
    </row>
    <row r="12" spans="1:12" ht="13.8">
      <c r="A12" s="13"/>
      <c r="B12" s="13"/>
      <c r="C12" s="157" t="s">
        <v>184</v>
      </c>
      <c r="D12" s="157"/>
      <c r="E12" s="157"/>
      <c r="F12" s="157"/>
      <c r="G12" s="151">
        <f>SUM(O23:O31)/1000</f>
        <v>0.11179</v>
      </c>
      <c r="H12" s="151"/>
      <c r="I12" s="152">
        <f>(Source!F53/1000)</f>
        <v>3.3027699999999998</v>
      </c>
      <c r="J12" s="152"/>
      <c r="K12" s="149" t="s">
        <v>185</v>
      </c>
      <c r="L12" s="149"/>
    </row>
    <row r="13" spans="1:12" ht="13.8" hidden="1">
      <c r="A13" s="13"/>
      <c r="B13" s="13"/>
      <c r="C13" s="150" t="s">
        <v>186</v>
      </c>
      <c r="D13" s="150"/>
      <c r="E13" s="150"/>
      <c r="F13" s="150"/>
      <c r="G13" s="151">
        <f>SUM(W23:W31)/1000</f>
        <v>0</v>
      </c>
      <c r="H13" s="151"/>
      <c r="I13" s="152">
        <f>(Source!F43)/1000</f>
        <v>0</v>
      </c>
      <c r="J13" s="152"/>
      <c r="K13" s="149" t="s">
        <v>185</v>
      </c>
      <c r="L13" s="149"/>
    </row>
    <row r="14" spans="1:12" ht="13.8" hidden="1">
      <c r="A14" s="13"/>
      <c r="B14" s="13"/>
      <c r="C14" s="150" t="s">
        <v>187</v>
      </c>
      <c r="D14" s="150"/>
      <c r="E14" s="150"/>
      <c r="F14" s="150"/>
      <c r="G14" s="151">
        <f>SUM(X23:X31)/1000</f>
        <v>0.11179</v>
      </c>
      <c r="H14" s="151"/>
      <c r="I14" s="152">
        <f>(Source!F44)/1000</f>
        <v>3.3027699999999998</v>
      </c>
      <c r="J14" s="152"/>
      <c r="K14" s="149" t="s">
        <v>185</v>
      </c>
      <c r="L14" s="149"/>
    </row>
    <row r="15" spans="1:12" ht="13.8" hidden="1">
      <c r="A15" s="13"/>
      <c r="B15" s="13"/>
      <c r="C15" s="150" t="s">
        <v>188</v>
      </c>
      <c r="D15" s="150"/>
      <c r="E15" s="150"/>
      <c r="F15" s="150"/>
      <c r="G15" s="151">
        <f>SUM(Y23:Y31)/1000</f>
        <v>0</v>
      </c>
      <c r="H15" s="151"/>
      <c r="I15" s="152">
        <f>(Source!F35)/1000</f>
        <v>0</v>
      </c>
      <c r="J15" s="152"/>
      <c r="K15" s="149" t="s">
        <v>185</v>
      </c>
      <c r="L15" s="149"/>
    </row>
    <row r="16" spans="1:12" ht="13.8" hidden="1">
      <c r="A16" s="13"/>
      <c r="B16" s="13"/>
      <c r="C16" s="150" t="s">
        <v>189</v>
      </c>
      <c r="D16" s="150"/>
      <c r="E16" s="150"/>
      <c r="F16" s="150"/>
      <c r="G16" s="151">
        <f>SUM(Z23:Z31)/1000</f>
        <v>0</v>
      </c>
      <c r="H16" s="151"/>
      <c r="I16" s="152">
        <f>(Source!F45+Source!F46)/1000</f>
        <v>0</v>
      </c>
      <c r="J16" s="152"/>
      <c r="K16" s="149" t="s">
        <v>185</v>
      </c>
      <c r="L16" s="149"/>
    </row>
    <row r="17" spans="1:26" ht="13.8" hidden="1">
      <c r="A17" s="13"/>
      <c r="B17" s="13"/>
      <c r="C17" s="157" t="s">
        <v>190</v>
      </c>
      <c r="D17" s="157"/>
      <c r="E17" s="157"/>
      <c r="F17" s="157"/>
      <c r="G17" s="151">
        <f>I17</f>
        <v>4.5</v>
      </c>
      <c r="H17" s="151"/>
      <c r="I17" s="152">
        <f>(Source!F48+Source!F49)</f>
        <v>4.5</v>
      </c>
      <c r="J17" s="152"/>
      <c r="K17" s="149" t="s">
        <v>191</v>
      </c>
      <c r="L17" s="149"/>
    </row>
    <row r="18" spans="1:26" ht="13.8">
      <c r="A18" s="13"/>
      <c r="B18" s="13"/>
      <c r="C18" s="157" t="s">
        <v>192</v>
      </c>
      <c r="D18" s="157"/>
      <c r="E18" s="157"/>
      <c r="F18" s="157"/>
      <c r="G18" s="151">
        <f>SUM(R23:R31)/1000</f>
        <v>4.6579999999999996E-2</v>
      </c>
      <c r="H18" s="151"/>
      <c r="I18" s="152">
        <f>(Source!F41+ Source!F40)/1000</f>
        <v>1.5290599999999999</v>
      </c>
      <c r="J18" s="152"/>
      <c r="K18" s="149" t="s">
        <v>185</v>
      </c>
      <c r="L18" s="149"/>
    </row>
    <row r="19" spans="1:26" ht="13.8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26" ht="13.8">
      <c r="A20" s="110" t="s">
        <v>205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</row>
    <row r="21" spans="1:26" ht="41.4">
      <c r="A21" s="18" t="s">
        <v>193</v>
      </c>
      <c r="B21" s="18" t="s">
        <v>194</v>
      </c>
      <c r="C21" s="18" t="s">
        <v>195</v>
      </c>
      <c r="D21" s="18" t="s">
        <v>196</v>
      </c>
      <c r="E21" s="18" t="s">
        <v>197</v>
      </c>
      <c r="F21" s="18" t="s">
        <v>198</v>
      </c>
      <c r="G21" s="18" t="s">
        <v>199</v>
      </c>
      <c r="H21" s="18" t="s">
        <v>200</v>
      </c>
      <c r="I21" s="18" t="s">
        <v>201</v>
      </c>
      <c r="J21" s="18" t="s">
        <v>202</v>
      </c>
      <c r="K21" s="18" t="s">
        <v>203</v>
      </c>
      <c r="L21" s="18" t="s">
        <v>204</v>
      </c>
    </row>
    <row r="22" spans="1:26" ht="13.8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  <c r="G22" s="19">
        <v>7</v>
      </c>
      <c r="H22" s="19">
        <v>8</v>
      </c>
      <c r="I22" s="19">
        <v>9</v>
      </c>
      <c r="J22" s="19">
        <v>10</v>
      </c>
      <c r="K22" s="19">
        <v>11</v>
      </c>
      <c r="L22" s="20">
        <v>12</v>
      </c>
    </row>
    <row r="23" spans="1:26" ht="45.75" customHeight="1">
      <c r="A23" s="21" t="str">
        <f>Source!E24</f>
        <v>1</v>
      </c>
      <c r="B23" s="21" t="str">
        <f>Source!F24</f>
        <v>м10-09-001-02</v>
      </c>
      <c r="C23" s="40" t="str">
        <f>Source!G24</f>
        <v>Аппаратура телевизионная с 1 малогабаритной беструбочной камерой (Видеокамера цифровая Fractal F1)</v>
      </c>
      <c r="D23" s="21" t="str">
        <f>Source!H24</f>
        <v>КОМПЛ</v>
      </c>
      <c r="E23" s="21">
        <f>Source!I24</f>
        <v>1</v>
      </c>
      <c r="F23" s="22">
        <f>Source!AL24+Source!AM24+Source!AO24</f>
        <v>210.59</v>
      </c>
      <c r="G23" s="21"/>
      <c r="H23" s="23"/>
      <c r="I23" s="21" t="str">
        <f>Source!BO24</f>
        <v>м10-09-001-02</v>
      </c>
      <c r="J23" s="21"/>
      <c r="K23" s="23"/>
      <c r="L23" s="10"/>
      <c r="S23">
        <f>ROUND((Source!FX24/100)*((ROUND(Source!AF24*Source!I24, 2)+ROUND(Source!AE24*Source!I24, 2))), 2)</f>
        <v>37.26</v>
      </c>
      <c r="T23">
        <f>Source!X24</f>
        <v>1039.76</v>
      </c>
      <c r="U23">
        <f>ROUND((Source!FY24/100)*((ROUND(Source!AF24*Source!I24, 2)+ROUND(Source!AE24*Source!I24, 2))), 2)</f>
        <v>27.95</v>
      </c>
      <c r="V23">
        <f>Source!Y24</f>
        <v>733.95</v>
      </c>
    </row>
    <row r="24" spans="1:26" ht="13.8">
      <c r="A24" s="21"/>
      <c r="B24" s="21"/>
      <c r="C24" s="21" t="s">
        <v>206</v>
      </c>
      <c r="D24" s="21"/>
      <c r="E24" s="21"/>
      <c r="F24" s="22">
        <f>Source!AO24</f>
        <v>155.25</v>
      </c>
      <c r="G24" s="21" t="str">
        <f>Source!DG24</f>
        <v>*0,3</v>
      </c>
      <c r="H24" s="23">
        <f>ROUND(Source!AF24*Source!I24, 2)</f>
        <v>46.58</v>
      </c>
      <c r="I24" s="21"/>
      <c r="J24" s="21">
        <f>IF(Source!BA24&lt;&gt; 0, Source!BA24, 1)</f>
        <v>32.83</v>
      </c>
      <c r="K24" s="23">
        <f>Source!S24</f>
        <v>1529.06</v>
      </c>
      <c r="L24" s="10"/>
      <c r="R24">
        <f>H24</f>
        <v>46.58</v>
      </c>
    </row>
    <row r="25" spans="1:26" ht="13.8">
      <c r="A25" s="21"/>
      <c r="B25" s="21"/>
      <c r="C25" s="21" t="s">
        <v>207</v>
      </c>
      <c r="D25" s="21" t="s">
        <v>208</v>
      </c>
      <c r="E25" s="21">
        <f>Source!BZ24</f>
        <v>80</v>
      </c>
      <c r="F25" s="24"/>
      <c r="G25" s="21"/>
      <c r="H25" s="23">
        <f>SUM(S23:S27)</f>
        <v>37.26</v>
      </c>
      <c r="I25" s="9" t="str">
        <f>CONCATENATE(Source!FX24, Source!FV24, "=")</f>
        <v>80*0,85=</v>
      </c>
      <c r="J25" s="21">
        <f>Source!AT24</f>
        <v>68</v>
      </c>
      <c r="K25" s="23">
        <f>SUM(T23:T27)</f>
        <v>1039.76</v>
      </c>
      <c r="L25" s="10"/>
    </row>
    <row r="26" spans="1:26" ht="13.8">
      <c r="A26" s="21"/>
      <c r="B26" s="21"/>
      <c r="C26" s="21" t="s">
        <v>209</v>
      </c>
      <c r="D26" s="21" t="s">
        <v>208</v>
      </c>
      <c r="E26" s="21">
        <f>Source!CA24</f>
        <v>60</v>
      </c>
      <c r="F26" s="24"/>
      <c r="G26" s="21"/>
      <c r="H26" s="23">
        <f>SUM(U23:U27)</f>
        <v>27.95</v>
      </c>
      <c r="I26" s="9" t="str">
        <f>CONCATENATE(Source!FY24, Source!FW24, "=")</f>
        <v>60*0,8=</v>
      </c>
      <c r="J26" s="21">
        <f>Source!AU24</f>
        <v>48</v>
      </c>
      <c r="K26" s="23">
        <f>SUM(V23:V27)</f>
        <v>733.95</v>
      </c>
      <c r="L26" s="10"/>
    </row>
    <row r="27" spans="1:26" ht="13.8">
      <c r="A27" s="27"/>
      <c r="B27" s="27"/>
      <c r="C27" s="27" t="s">
        <v>210</v>
      </c>
      <c r="D27" s="27" t="s">
        <v>211</v>
      </c>
      <c r="E27" s="27">
        <f>Source!AQ24</f>
        <v>15</v>
      </c>
      <c r="F27" s="28"/>
      <c r="G27" s="27" t="str">
        <f>Source!DI24</f>
        <v>*0,3</v>
      </c>
      <c r="H27" s="29"/>
      <c r="I27" s="27"/>
      <c r="J27" s="27"/>
      <c r="K27" s="29"/>
      <c r="L27" s="30">
        <f>Source!U24</f>
        <v>4.5</v>
      </c>
    </row>
    <row r="28" spans="1:26" ht="13.8">
      <c r="G28" s="23">
        <f>H24+H25+H26</f>
        <v>111.79</v>
      </c>
      <c r="H28" s="23"/>
      <c r="J28" s="23">
        <f>K24+K25+K26</f>
        <v>3302.7699999999995</v>
      </c>
      <c r="K28" s="23"/>
      <c r="L28" s="25">
        <f>Source!U24</f>
        <v>4.5</v>
      </c>
      <c r="O28" s="26">
        <f>G28</f>
        <v>111.79</v>
      </c>
      <c r="P28" s="26">
        <f>J28</f>
        <v>3302.7699999999995</v>
      </c>
      <c r="Q28" s="26">
        <f>L28</f>
        <v>4.5</v>
      </c>
      <c r="W28">
        <f>IF(Source!BI24&lt;=1,H24+H25+H26, 0)</f>
        <v>0</v>
      </c>
      <c r="X28">
        <f>IF(Source!BI24=2,H24+H25+H26, 0)</f>
        <v>111.79</v>
      </c>
      <c r="Y28">
        <f>IF(Source!BI24=3,H24+H25+H26, 0)</f>
        <v>0</v>
      </c>
      <c r="Z28">
        <f>IF(Source!BI24=4,H24+H25+H26, 0)</f>
        <v>0</v>
      </c>
    </row>
    <row r="30" spans="1:26" ht="13.8">
      <c r="A30" s="31" t="s">
        <v>222</v>
      </c>
      <c r="B30" s="21"/>
      <c r="C30" s="21"/>
      <c r="D30" s="21"/>
      <c r="E30" s="21"/>
      <c r="F30" s="21"/>
      <c r="G30" s="23">
        <f>SUM(O23:O29)</f>
        <v>111.79</v>
      </c>
      <c r="H30" s="21"/>
      <c r="I30" s="21"/>
      <c r="J30" s="23">
        <f>SUM(P23:P29)</f>
        <v>3302.7699999999995</v>
      </c>
      <c r="K30" s="21"/>
      <c r="L30" s="25">
        <f>SUM(Q23:Q29)</f>
        <v>4.5</v>
      </c>
    </row>
    <row r="33" spans="1:14" ht="13.8">
      <c r="C33" s="158" t="str">
        <f>Source!H28</f>
        <v>Прямые затраты</v>
      </c>
      <c r="D33" s="158"/>
      <c r="E33" s="158"/>
      <c r="F33" s="158"/>
      <c r="G33" s="158"/>
      <c r="H33" s="158"/>
      <c r="I33" s="158"/>
      <c r="J33" s="159">
        <f>IF(Source!F28=0, "", Source!F28)</f>
        <v>1529.06</v>
      </c>
      <c r="K33" s="159"/>
    </row>
    <row r="34" spans="1:14" ht="13.8">
      <c r="C34" s="158" t="str">
        <f>Source!H41</f>
        <v>Основная ЗП рабочих</v>
      </c>
      <c r="D34" s="158"/>
      <c r="E34" s="158"/>
      <c r="F34" s="158"/>
      <c r="G34" s="158"/>
      <c r="H34" s="158"/>
      <c r="I34" s="158"/>
      <c r="J34" s="159">
        <f>IF(Source!F41=0, "", Source!F41)</f>
        <v>1529.06</v>
      </c>
      <c r="K34" s="159"/>
    </row>
    <row r="35" spans="1:14" ht="13.8">
      <c r="C35" s="158" t="str">
        <f>Source!H44</f>
        <v>Монтажные работы с НР и СП</v>
      </c>
      <c r="D35" s="158"/>
      <c r="E35" s="158"/>
      <c r="F35" s="158"/>
      <c r="G35" s="158"/>
      <c r="H35" s="158"/>
      <c r="I35" s="158"/>
      <c r="J35" s="159">
        <f>IF(Source!F44=0, "", Source!F44)</f>
        <v>3302.77</v>
      </c>
      <c r="K35" s="159"/>
    </row>
    <row r="36" spans="1:14" ht="13.8">
      <c r="C36" s="158" t="str">
        <f>Source!H51</f>
        <v>Накладные расходы</v>
      </c>
      <c r="D36" s="158"/>
      <c r="E36" s="158"/>
      <c r="F36" s="158"/>
      <c r="G36" s="158"/>
      <c r="H36" s="158"/>
      <c r="I36" s="158"/>
      <c r="J36" s="159">
        <f>IF(Source!F51=0, "", Source!F51)</f>
        <v>1039.76</v>
      </c>
      <c r="K36" s="159"/>
    </row>
    <row r="37" spans="1:14" ht="13.8">
      <c r="C37" s="158" t="str">
        <f>Source!H52</f>
        <v>Сметная прибыль</v>
      </c>
      <c r="D37" s="158"/>
      <c r="E37" s="158"/>
      <c r="F37" s="158"/>
      <c r="G37" s="158"/>
      <c r="H37" s="158"/>
      <c r="I37" s="158"/>
      <c r="J37" s="159">
        <f>IF(Source!F52=0, "", Source!F52)</f>
        <v>733.95</v>
      </c>
      <c r="K37" s="159"/>
    </row>
    <row r="38" spans="1:14" ht="44.25" customHeight="1">
      <c r="C38" s="148" t="s">
        <v>224</v>
      </c>
      <c r="D38" s="148"/>
      <c r="E38" s="148"/>
      <c r="F38" s="148"/>
      <c r="G38" s="32"/>
      <c r="H38" s="32"/>
      <c r="I38" s="32"/>
      <c r="J38" s="33"/>
      <c r="K38" s="33"/>
    </row>
    <row r="39" spans="1:14" ht="13.8">
      <c r="A39" s="41" t="s">
        <v>75</v>
      </c>
      <c r="C39" s="158"/>
      <c r="D39" s="158"/>
      <c r="E39" s="158"/>
      <c r="F39" s="158"/>
      <c r="G39" s="158"/>
      <c r="H39" s="158"/>
      <c r="I39" s="158"/>
      <c r="J39" s="159">
        <f>IF(Source!F53=0, "", Source!F53)</f>
        <v>3302.77</v>
      </c>
      <c r="K39" s="159"/>
      <c r="N39" s="104">
        <f>J39*0.2</f>
        <v>660.55400000000009</v>
      </c>
    </row>
    <row r="41" spans="1:14" ht="13.8">
      <c r="A41" s="34" t="s">
        <v>212</v>
      </c>
      <c r="B41" s="34"/>
      <c r="C41" s="17" t="s">
        <v>213</v>
      </c>
      <c r="D41" s="35" t="str">
        <f>IF(Source!AC12&lt;&gt;"", Source!AC12," ")</f>
        <v xml:space="preserve"> </v>
      </c>
      <c r="E41" s="35"/>
      <c r="F41" s="35"/>
      <c r="G41" s="35"/>
      <c r="H41" s="35"/>
      <c r="I41" s="13" t="str">
        <f>IF(Source!AB12&lt;&gt;"", Source!AB12," ")</f>
        <v xml:space="preserve"> </v>
      </c>
      <c r="J41" s="13"/>
      <c r="K41" s="13"/>
      <c r="L41" s="13"/>
    </row>
    <row r="42" spans="1:14" ht="13.8">
      <c r="A42" s="13"/>
      <c r="B42" s="13"/>
      <c r="C42" s="17"/>
      <c r="D42" s="160" t="s">
        <v>214</v>
      </c>
      <c r="E42" s="160"/>
      <c r="F42" s="160"/>
      <c r="G42" s="160"/>
      <c r="H42" s="160"/>
      <c r="I42" s="13"/>
      <c r="J42" s="13"/>
      <c r="K42" s="13"/>
      <c r="L42" s="13"/>
    </row>
    <row r="43" spans="1:14" ht="13.8">
      <c r="A43" s="13"/>
      <c r="B43" s="13"/>
      <c r="C43" s="17"/>
      <c r="D43" s="13"/>
      <c r="E43" s="13"/>
      <c r="F43" s="13"/>
      <c r="G43" s="13"/>
      <c r="H43" s="13"/>
      <c r="I43" s="13"/>
      <c r="J43" s="13"/>
      <c r="K43" s="13"/>
      <c r="L43" s="13"/>
    </row>
    <row r="44" spans="1:14" ht="13.8">
      <c r="A44" s="34" t="s">
        <v>212</v>
      </c>
      <c r="B44" s="34"/>
      <c r="C44" s="17" t="s">
        <v>215</v>
      </c>
      <c r="D44" s="35" t="str">
        <f>IF(Source!AE12&lt;&gt;"", Source!AE12," ")</f>
        <v xml:space="preserve"> </v>
      </c>
      <c r="E44" s="35"/>
      <c r="F44" s="35"/>
      <c r="G44" s="35"/>
      <c r="H44" s="35"/>
      <c r="I44" s="13" t="str">
        <f>IF(Source!AD12&lt;&gt;"", Source!AD12," ")</f>
        <v xml:space="preserve"> </v>
      </c>
      <c r="J44" s="13"/>
      <c r="K44" s="13"/>
      <c r="L44" s="13"/>
    </row>
    <row r="45" spans="1:14" ht="13.8">
      <c r="A45" s="13"/>
      <c r="B45" s="13"/>
      <c r="C45" s="13"/>
      <c r="D45" s="160" t="s">
        <v>214</v>
      </c>
      <c r="E45" s="160"/>
      <c r="F45" s="160"/>
      <c r="G45" s="160"/>
      <c r="H45" s="160"/>
      <c r="I45" s="13"/>
      <c r="J45" s="13"/>
      <c r="K45" s="13"/>
      <c r="L45" s="13"/>
    </row>
    <row r="46" spans="1:14" ht="15.6">
      <c r="A46" s="11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1"/>
    </row>
    <row r="47" spans="1:14">
      <c r="J47" s="107" t="s">
        <v>225</v>
      </c>
      <c r="K47" s="107"/>
      <c r="L47" s="107"/>
    </row>
    <row r="48" spans="1:14">
      <c r="H48" s="153" t="s">
        <v>218</v>
      </c>
      <c r="I48" s="153"/>
      <c r="J48" s="153"/>
      <c r="K48" s="153"/>
    </row>
    <row r="49" spans="1:12">
      <c r="H49" s="39"/>
      <c r="I49" s="39"/>
      <c r="J49" s="39"/>
      <c r="K49" s="39"/>
    </row>
    <row r="50" spans="1:12" ht="15.6">
      <c r="A50" s="14"/>
      <c r="B50" s="154" t="s">
        <v>226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4"/>
    </row>
    <row r="51" spans="1:12" ht="15.6">
      <c r="A51" s="14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4"/>
    </row>
    <row r="52" spans="1:12" ht="32.25" customHeight="1">
      <c r="A52" s="13"/>
      <c r="B52" s="145" t="s">
        <v>260</v>
      </c>
      <c r="C52" s="145"/>
      <c r="D52" s="145"/>
      <c r="E52" s="145"/>
      <c r="F52" s="145"/>
      <c r="G52" s="145"/>
      <c r="H52" s="145"/>
      <c r="I52" s="145"/>
      <c r="J52" s="145"/>
      <c r="K52" s="145"/>
      <c r="L52" s="15"/>
    </row>
    <row r="53" spans="1:12" ht="13.8">
      <c r="A53" s="13"/>
      <c r="B53" s="146" t="s">
        <v>181</v>
      </c>
      <c r="C53" s="146"/>
      <c r="D53" s="146"/>
      <c r="E53" s="146"/>
      <c r="F53" s="146"/>
      <c r="G53" s="146"/>
      <c r="H53" s="146"/>
      <c r="I53" s="146"/>
      <c r="J53" s="146"/>
      <c r="K53" s="146"/>
      <c r="L53" s="11"/>
    </row>
    <row r="54" spans="1:12" ht="13.8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13.8">
      <c r="A55" s="147" t="s">
        <v>261</v>
      </c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</row>
    <row r="56" spans="1:12" ht="13.8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 ht="13.8">
      <c r="A57" s="13"/>
      <c r="B57" s="13"/>
      <c r="C57" s="13"/>
      <c r="D57" s="13"/>
      <c r="E57" s="16"/>
      <c r="F57" s="16"/>
      <c r="G57" s="155" t="s">
        <v>182</v>
      </c>
      <c r="H57" s="155"/>
      <c r="I57" s="156" t="s">
        <v>183</v>
      </c>
      <c r="J57" s="156"/>
      <c r="K57" s="13"/>
      <c r="L57" s="13"/>
    </row>
    <row r="58" spans="1:12" ht="13.8">
      <c r="A58" s="13"/>
      <c r="B58" s="13"/>
      <c r="C58" s="157" t="s">
        <v>184</v>
      </c>
      <c r="D58" s="157"/>
      <c r="E58" s="157"/>
      <c r="F58" s="157"/>
      <c r="G58" s="151">
        <f>SUM(O70:O85)/1000</f>
        <v>0.56993000000000005</v>
      </c>
      <c r="H58" s="151"/>
      <c r="I58" s="152">
        <f>(Source!F89/1000)</f>
        <v>15.59732</v>
      </c>
      <c r="J58" s="152"/>
      <c r="K58" s="149" t="s">
        <v>185</v>
      </c>
      <c r="L58" s="149"/>
    </row>
    <row r="59" spans="1:12" ht="13.8" hidden="1">
      <c r="A59" s="13"/>
      <c r="B59" s="13"/>
      <c r="C59" s="150" t="s">
        <v>186</v>
      </c>
      <c r="D59" s="150"/>
      <c r="E59" s="150"/>
      <c r="F59" s="150"/>
      <c r="G59" s="151">
        <f>SUM(W70:W85)/1000</f>
        <v>0</v>
      </c>
      <c r="H59" s="151"/>
      <c r="I59" s="152">
        <f>(Source!F79)/1000</f>
        <v>0</v>
      </c>
      <c r="J59" s="152"/>
      <c r="K59" s="149" t="s">
        <v>185</v>
      </c>
      <c r="L59" s="149"/>
    </row>
    <row r="60" spans="1:12" ht="13.8" hidden="1">
      <c r="A60" s="13"/>
      <c r="B60" s="13"/>
      <c r="C60" s="150" t="s">
        <v>187</v>
      </c>
      <c r="D60" s="150"/>
      <c r="E60" s="150"/>
      <c r="F60" s="150"/>
      <c r="G60" s="151">
        <f>SUM(X70:X85)/1000</f>
        <v>0.56993000000000005</v>
      </c>
      <c r="H60" s="151"/>
      <c r="I60" s="152">
        <f>(Source!F80)/1000</f>
        <v>15.59732</v>
      </c>
      <c r="J60" s="152"/>
      <c r="K60" s="149" t="s">
        <v>185</v>
      </c>
      <c r="L60" s="149"/>
    </row>
    <row r="61" spans="1:12" ht="13.8" hidden="1">
      <c r="A61" s="13"/>
      <c r="B61" s="13"/>
      <c r="C61" s="150" t="s">
        <v>188</v>
      </c>
      <c r="D61" s="150"/>
      <c r="E61" s="150"/>
      <c r="F61" s="150"/>
      <c r="G61" s="151">
        <f>SUM(Y70:Y85)/1000</f>
        <v>0</v>
      </c>
      <c r="H61" s="151"/>
      <c r="I61" s="152">
        <f>(Source!F71)/1000</f>
        <v>0</v>
      </c>
      <c r="J61" s="152"/>
      <c r="K61" s="149" t="s">
        <v>185</v>
      </c>
      <c r="L61" s="149"/>
    </row>
    <row r="62" spans="1:12" ht="13.8" hidden="1">
      <c r="A62" s="13"/>
      <c r="B62" s="13"/>
      <c r="C62" s="150" t="s">
        <v>189</v>
      </c>
      <c r="D62" s="150"/>
      <c r="E62" s="150"/>
      <c r="F62" s="150"/>
      <c r="G62" s="151">
        <f>SUM(Z70:Z85)/1000</f>
        <v>0</v>
      </c>
      <c r="H62" s="151"/>
      <c r="I62" s="152">
        <f>(Source!F81+Source!F82)/1000</f>
        <v>0</v>
      </c>
      <c r="J62" s="152"/>
      <c r="K62" s="149" t="s">
        <v>185</v>
      </c>
      <c r="L62" s="149"/>
    </row>
    <row r="63" spans="1:12" ht="13.8" hidden="1">
      <c r="A63" s="13"/>
      <c r="B63" s="13"/>
      <c r="C63" s="157" t="s">
        <v>190</v>
      </c>
      <c r="D63" s="157"/>
      <c r="E63" s="157"/>
      <c r="F63" s="157"/>
      <c r="G63" s="151">
        <f>I63</f>
        <v>19</v>
      </c>
      <c r="H63" s="151"/>
      <c r="I63" s="152">
        <f>(Source!F84+Source!F85)</f>
        <v>19</v>
      </c>
      <c r="J63" s="152"/>
      <c r="K63" s="149" t="s">
        <v>191</v>
      </c>
      <c r="L63" s="149"/>
    </row>
    <row r="64" spans="1:12" ht="13.8">
      <c r="A64" s="13"/>
      <c r="B64" s="13"/>
      <c r="C64" s="157" t="s">
        <v>192</v>
      </c>
      <c r="D64" s="157"/>
      <c r="E64" s="157"/>
      <c r="F64" s="157"/>
      <c r="G64" s="151">
        <f>SUM(R70:R85)/1000</f>
        <v>0.21440999999999999</v>
      </c>
      <c r="H64" s="151"/>
      <c r="I64" s="152">
        <f>(Source!F77+ Source!F76)/1000</f>
        <v>7.0390800000000002</v>
      </c>
      <c r="J64" s="152"/>
      <c r="K64" s="149" t="s">
        <v>185</v>
      </c>
      <c r="L64" s="149"/>
    </row>
    <row r="65" spans="1:26" ht="13.8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26" ht="13.8">
      <c r="A66" s="110" t="s">
        <v>205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</row>
    <row r="67" spans="1:26" ht="41.4">
      <c r="A67" s="18" t="s">
        <v>193</v>
      </c>
      <c r="B67" s="18" t="s">
        <v>194</v>
      </c>
      <c r="C67" s="18" t="s">
        <v>195</v>
      </c>
      <c r="D67" s="18" t="s">
        <v>196</v>
      </c>
      <c r="E67" s="18" t="s">
        <v>197</v>
      </c>
      <c r="F67" s="18" t="s">
        <v>198</v>
      </c>
      <c r="G67" s="18" t="s">
        <v>199</v>
      </c>
      <c r="H67" s="18" t="s">
        <v>200</v>
      </c>
      <c r="I67" s="18" t="s">
        <v>201</v>
      </c>
      <c r="J67" s="18" t="s">
        <v>202</v>
      </c>
      <c r="K67" s="18" t="s">
        <v>203</v>
      </c>
      <c r="L67" s="18" t="s">
        <v>204</v>
      </c>
    </row>
    <row r="68" spans="1:26" ht="13.8">
      <c r="A68" s="19">
        <v>1</v>
      </c>
      <c r="B68" s="19">
        <v>2</v>
      </c>
      <c r="C68" s="19">
        <v>3</v>
      </c>
      <c r="D68" s="19">
        <v>4</v>
      </c>
      <c r="E68" s="19">
        <v>5</v>
      </c>
      <c r="F68" s="19">
        <v>6</v>
      </c>
      <c r="G68" s="19">
        <v>7</v>
      </c>
      <c r="H68" s="19">
        <v>8</v>
      </c>
      <c r="I68" s="19">
        <v>9</v>
      </c>
      <c r="J68" s="19">
        <v>10</v>
      </c>
      <c r="K68" s="19">
        <v>11</v>
      </c>
      <c r="L68" s="20">
        <v>12</v>
      </c>
    </row>
    <row r="69" spans="1:26" ht="18" customHeight="1">
      <c r="A69" s="42"/>
      <c r="B69" s="42"/>
      <c r="C69" s="42"/>
      <c r="D69" s="43" t="s">
        <v>227</v>
      </c>
      <c r="E69" s="42"/>
      <c r="F69" s="42"/>
      <c r="G69" s="42"/>
      <c r="H69" s="42"/>
      <c r="I69" s="42"/>
      <c r="J69" s="42"/>
      <c r="K69" s="42"/>
      <c r="L69" s="42"/>
    </row>
    <row r="70" spans="1:26" ht="47.25" customHeight="1">
      <c r="A70" s="21" t="str">
        <f>Source!E59</f>
        <v>1</v>
      </c>
      <c r="B70" s="21" t="str">
        <f>Source!F59</f>
        <v>м10-09-001-02</v>
      </c>
      <c r="C70" s="40" t="str">
        <f>Source!G59</f>
        <v>Аппаратура телевизионная с 1 малогабаритной беструбочной камерой (Видеокамера цифровая Fractal F1)</v>
      </c>
      <c r="D70" s="21" t="str">
        <f>Source!H59</f>
        <v>КОМПЛ</v>
      </c>
      <c r="E70" s="21">
        <f>Source!I59</f>
        <v>1</v>
      </c>
      <c r="F70" s="22">
        <f>Source!AL59+Source!AM59+Source!AO59</f>
        <v>210.59</v>
      </c>
      <c r="G70" s="21"/>
      <c r="H70" s="23"/>
      <c r="I70" s="21" t="str">
        <f>Source!BO59</f>
        <v>м10-09-001-02</v>
      </c>
      <c r="J70" s="21"/>
      <c r="K70" s="23"/>
      <c r="L70" s="10"/>
      <c r="S70">
        <f>ROUND((Source!FX59/100)*((ROUND(Source!AF59*Source!I59, 2)+ROUND(Source!AE59*Source!I59, 2))), 2)</f>
        <v>124.2</v>
      </c>
      <c r="T70">
        <f>Source!X59</f>
        <v>3465.86</v>
      </c>
      <c r="U70">
        <f>ROUND((Source!FY59/100)*((ROUND(Source!AF59*Source!I59, 2)+ROUND(Source!AE59*Source!I59, 2))), 2)</f>
        <v>93.15</v>
      </c>
      <c r="V70">
        <f>Source!Y59</f>
        <v>2446.4899999999998</v>
      </c>
    </row>
    <row r="71" spans="1:26" ht="13.8">
      <c r="A71" s="21"/>
      <c r="B71" s="21"/>
      <c r="C71" s="21" t="s">
        <v>206</v>
      </c>
      <c r="D71" s="21"/>
      <c r="E71" s="21"/>
      <c r="F71" s="22">
        <f>Source!AO59</f>
        <v>155.25</v>
      </c>
      <c r="G71" s="21">
        <f>Source!DG59</f>
        <v>0</v>
      </c>
      <c r="H71" s="23">
        <f>ROUND(Source!AF59*Source!I59, 2)</f>
        <v>155.25</v>
      </c>
      <c r="I71" s="21"/>
      <c r="J71" s="21">
        <f>IF(Source!BA59&lt;&gt; 0, Source!BA59, 1)</f>
        <v>32.83</v>
      </c>
      <c r="K71" s="23">
        <f>Source!S59</f>
        <v>5096.8599999999997</v>
      </c>
      <c r="L71" s="10"/>
      <c r="R71">
        <f>H71</f>
        <v>155.25</v>
      </c>
    </row>
    <row r="72" spans="1:26" ht="13.8">
      <c r="A72" s="21"/>
      <c r="B72" s="21"/>
      <c r="C72" s="21" t="s">
        <v>216</v>
      </c>
      <c r="D72" s="21"/>
      <c r="E72" s="21"/>
      <c r="F72" s="22">
        <f>Source!AL59</f>
        <v>55.34</v>
      </c>
      <c r="G72" s="21" t="str">
        <f>Source!DD59</f>
        <v/>
      </c>
      <c r="H72" s="23">
        <f>ROUND(Source!AC59*Source!I59, 2)</f>
        <v>55.34</v>
      </c>
      <c r="I72" s="21"/>
      <c r="J72" s="21">
        <f>IF(Source!BC59&lt;&gt; 0, Source!BC59, 1)</f>
        <v>7.1</v>
      </c>
      <c r="K72" s="23">
        <f>Source!P59</f>
        <v>392.91</v>
      </c>
      <c r="L72" s="10"/>
    </row>
    <row r="73" spans="1:26" ht="13.8">
      <c r="A73" s="21"/>
      <c r="B73" s="21"/>
      <c r="C73" s="21" t="s">
        <v>207</v>
      </c>
      <c r="D73" s="21" t="s">
        <v>208</v>
      </c>
      <c r="E73" s="21">
        <f>Source!BZ59</f>
        <v>80</v>
      </c>
      <c r="F73" s="24"/>
      <c r="G73" s="21"/>
      <c r="H73" s="23">
        <f>SUM(S70:S75)</f>
        <v>124.2</v>
      </c>
      <c r="I73" s="9" t="str">
        <f>CONCATENATE(Source!FX59, Source!FV59, "=")</f>
        <v>80*0,85=</v>
      </c>
      <c r="J73" s="21">
        <f>Source!AT59</f>
        <v>68</v>
      </c>
      <c r="K73" s="23">
        <f>SUM(T70:T75)</f>
        <v>3465.86</v>
      </c>
      <c r="L73" s="10"/>
    </row>
    <row r="74" spans="1:26" ht="13.8">
      <c r="A74" s="21"/>
      <c r="B74" s="21"/>
      <c r="C74" s="21" t="s">
        <v>209</v>
      </c>
      <c r="D74" s="21" t="s">
        <v>208</v>
      </c>
      <c r="E74" s="21">
        <f>Source!CA59</f>
        <v>60</v>
      </c>
      <c r="F74" s="24"/>
      <c r="G74" s="21"/>
      <c r="H74" s="23">
        <f>SUM(U70:U75)</f>
        <v>93.15</v>
      </c>
      <c r="I74" s="9" t="str">
        <f>CONCATENATE(Source!FY59, Source!FW59, "=")</f>
        <v>60*0,8=</v>
      </c>
      <c r="J74" s="21">
        <f>Source!AU59</f>
        <v>48</v>
      </c>
      <c r="K74" s="23">
        <f>SUM(V70:V75)</f>
        <v>2446.4899999999998</v>
      </c>
      <c r="L74" s="10"/>
    </row>
    <row r="75" spans="1:26" ht="13.8">
      <c r="A75" s="27"/>
      <c r="B75" s="27"/>
      <c r="C75" s="27" t="s">
        <v>210</v>
      </c>
      <c r="D75" s="27" t="s">
        <v>211</v>
      </c>
      <c r="E75" s="27">
        <f>Source!AQ59</f>
        <v>15</v>
      </c>
      <c r="F75" s="28"/>
      <c r="G75" s="27">
        <f>Source!DI59</f>
        <v>0</v>
      </c>
      <c r="H75" s="29"/>
      <c r="I75" s="27"/>
      <c r="J75" s="27"/>
      <c r="K75" s="29"/>
      <c r="L75" s="30">
        <f>Source!U59</f>
        <v>15</v>
      </c>
    </row>
    <row r="76" spans="1:26" ht="13.8">
      <c r="G76" s="23">
        <f>H71+H72+H73+H74</f>
        <v>427.94000000000005</v>
      </c>
      <c r="H76" s="23"/>
      <c r="J76" s="23">
        <f>K71+K72+K73+K74</f>
        <v>11402.119999999999</v>
      </c>
      <c r="K76" s="23"/>
      <c r="L76" s="25">
        <f>Source!U59</f>
        <v>15</v>
      </c>
      <c r="O76" s="26">
        <f>G76</f>
        <v>427.94000000000005</v>
      </c>
      <c r="P76" s="26">
        <f>J76</f>
        <v>11402.119999999999</v>
      </c>
      <c r="Q76" s="26">
        <f>L76</f>
        <v>15</v>
      </c>
      <c r="W76">
        <f>IF(Source!BI59&lt;=1,H71+H72+H73+H74, 0)</f>
        <v>0</v>
      </c>
      <c r="X76">
        <f>IF(Source!BI59=2,H71+H72+H73+H74, 0)</f>
        <v>427.94000000000005</v>
      </c>
      <c r="Y76">
        <f>IF(Source!BI59=3,H71+H72+H73+H74, 0)</f>
        <v>0</v>
      </c>
      <c r="Z76">
        <f>IF(Source!BI59=4,H71+H72+H73+H74, 0)</f>
        <v>0</v>
      </c>
    </row>
    <row r="77" spans="1:26" ht="48.75" customHeight="1">
      <c r="A77" s="21" t="str">
        <f>Source!E60</f>
        <v>2</v>
      </c>
      <c r="B77" s="21" t="str">
        <f>Source!F60</f>
        <v>м10-06-068-11</v>
      </c>
      <c r="C77" s="40" t="str">
        <f>Source!G60</f>
        <v>Настройка простых сетевых трактов 2 Мбит/сек. или 34 Мбит/сек., последующий (Видеокамера цифровая Fractal F1)</v>
      </c>
      <c r="D77" s="21" t="str">
        <f>Source!H60</f>
        <v>ШТ</v>
      </c>
      <c r="E77" s="21">
        <f>Source!I60</f>
        <v>1</v>
      </c>
      <c r="F77" s="22">
        <f>Source!AL60+Source!AM60+Source!AO60</f>
        <v>60.339999999999996</v>
      </c>
      <c r="G77" s="21"/>
      <c r="H77" s="23"/>
      <c r="I77" s="21" t="str">
        <f>Source!BO60</f>
        <v>м10-06-068-11</v>
      </c>
      <c r="J77" s="21"/>
      <c r="K77" s="23"/>
      <c r="L77" s="10"/>
      <c r="S77">
        <f>ROUND((Source!FX60/100)*((ROUND(Source!AF60*Source!I60, 2)+ROUND(Source!AE60*Source!I60, 2))), 2)</f>
        <v>47.33</v>
      </c>
      <c r="T77">
        <f>Source!X60</f>
        <v>1320.71</v>
      </c>
      <c r="U77">
        <f>ROUND((Source!FY60/100)*((ROUND(Source!AF60*Source!I60, 2)+ROUND(Source!AE60*Source!I60, 2))), 2)</f>
        <v>35.5</v>
      </c>
      <c r="V77">
        <f>Source!Y60</f>
        <v>932.27</v>
      </c>
    </row>
    <row r="78" spans="1:26" ht="13.8">
      <c r="A78" s="21"/>
      <c r="B78" s="21"/>
      <c r="C78" s="21" t="s">
        <v>206</v>
      </c>
      <c r="D78" s="21"/>
      <c r="E78" s="21"/>
      <c r="F78" s="22">
        <f>Source!AO60</f>
        <v>59.16</v>
      </c>
      <c r="G78" s="21">
        <f>Source!DG60</f>
        <v>0</v>
      </c>
      <c r="H78" s="23">
        <f>ROUND(Source!AF60*Source!I60, 2)</f>
        <v>59.16</v>
      </c>
      <c r="I78" s="21"/>
      <c r="J78" s="21">
        <f>IF(Source!BA60&lt;&gt; 0, Source!BA60, 1)</f>
        <v>32.83</v>
      </c>
      <c r="K78" s="23">
        <f>Source!S60</f>
        <v>1942.22</v>
      </c>
      <c r="L78" s="10"/>
      <c r="R78">
        <f>H78</f>
        <v>59.16</v>
      </c>
    </row>
    <row r="79" spans="1:26" ht="13.8">
      <c r="A79" s="21"/>
      <c r="B79" s="21"/>
      <c r="C79" s="21" t="s">
        <v>207</v>
      </c>
      <c r="D79" s="21" t="s">
        <v>208</v>
      </c>
      <c r="E79" s="21">
        <f>Source!BZ60</f>
        <v>80</v>
      </c>
      <c r="F79" s="24"/>
      <c r="G79" s="21"/>
      <c r="H79" s="23">
        <f>SUM(S77:S81)</f>
        <v>47.33</v>
      </c>
      <c r="I79" s="9" t="str">
        <f>CONCATENATE(Source!FX60, Source!FV60, "=")</f>
        <v>80*0,85=</v>
      </c>
      <c r="J79" s="21">
        <f>Source!AT60</f>
        <v>68</v>
      </c>
      <c r="K79" s="23">
        <f>SUM(T77:T81)</f>
        <v>1320.71</v>
      </c>
      <c r="L79" s="10"/>
    </row>
    <row r="80" spans="1:26" ht="13.8">
      <c r="A80" s="21"/>
      <c r="B80" s="21"/>
      <c r="C80" s="21" t="s">
        <v>209</v>
      </c>
      <c r="D80" s="21" t="s">
        <v>208</v>
      </c>
      <c r="E80" s="21">
        <f>Source!CA60</f>
        <v>60</v>
      </c>
      <c r="F80" s="24"/>
      <c r="G80" s="21"/>
      <c r="H80" s="23">
        <f>SUM(U77:U81)</f>
        <v>35.5</v>
      </c>
      <c r="I80" s="9" t="str">
        <f>CONCATENATE(Source!FY60, Source!FW60, "=")</f>
        <v>60*0,8=</v>
      </c>
      <c r="J80" s="21">
        <f>Source!AU60</f>
        <v>48</v>
      </c>
      <c r="K80" s="23">
        <f>SUM(V77:V81)</f>
        <v>932.27</v>
      </c>
      <c r="L80" s="10"/>
    </row>
    <row r="81" spans="1:26" ht="13.8">
      <c r="A81" s="27"/>
      <c r="B81" s="27"/>
      <c r="C81" s="27" t="s">
        <v>210</v>
      </c>
      <c r="D81" s="27" t="s">
        <v>211</v>
      </c>
      <c r="E81" s="27">
        <f>Source!AQ60</f>
        <v>4</v>
      </c>
      <c r="F81" s="28"/>
      <c r="G81" s="27">
        <f>Source!DI60</f>
        <v>0</v>
      </c>
      <c r="H81" s="29"/>
      <c r="I81" s="27"/>
      <c r="J81" s="27"/>
      <c r="K81" s="29"/>
      <c r="L81" s="30">
        <f>Source!U60</f>
        <v>4</v>
      </c>
    </row>
    <row r="82" spans="1:26" ht="13.8">
      <c r="G82" s="23">
        <f>H78+H79+H80</f>
        <v>141.99</v>
      </c>
      <c r="H82" s="23"/>
      <c r="J82" s="23">
        <f>K78+K79+K80</f>
        <v>4195.2000000000007</v>
      </c>
      <c r="K82" s="23"/>
      <c r="L82" s="25">
        <f>Source!U60</f>
        <v>4</v>
      </c>
      <c r="O82" s="26">
        <f>G82</f>
        <v>141.99</v>
      </c>
      <c r="P82" s="26">
        <f>J82</f>
        <v>4195.2000000000007</v>
      </c>
      <c r="Q82" s="26">
        <f>L82</f>
        <v>4</v>
      </c>
      <c r="W82">
        <f>IF(Source!BI60&lt;=1,H78+H79+H80, 0)</f>
        <v>0</v>
      </c>
      <c r="X82">
        <f>IF(Source!BI60=2,H78+H79+H80, 0)</f>
        <v>141.99</v>
      </c>
      <c r="Y82">
        <f>IF(Source!BI60=3,H78+H79+H80, 0)</f>
        <v>0</v>
      </c>
      <c r="Z82">
        <f>IF(Source!BI60=4,H78+H79+H80, 0)</f>
        <v>0</v>
      </c>
    </row>
    <row r="84" spans="1:26" ht="13.8">
      <c r="A84" s="41" t="s">
        <v>228</v>
      </c>
      <c r="B84" s="21"/>
      <c r="C84" s="21"/>
      <c r="D84" s="21"/>
      <c r="E84" s="21"/>
      <c r="F84" s="21"/>
      <c r="G84" s="23">
        <f>SUM(O70:O83)</f>
        <v>569.93000000000006</v>
      </c>
      <c r="H84" s="21"/>
      <c r="I84" s="21"/>
      <c r="J84" s="23">
        <f>SUM(P70:P83)</f>
        <v>15597.32</v>
      </c>
      <c r="K84" s="21"/>
      <c r="L84" s="25">
        <f>SUM(Q70:Q83)</f>
        <v>19</v>
      </c>
    </row>
    <row r="87" spans="1:26" ht="13.8">
      <c r="C87" s="158" t="str">
        <f>Source!H64</f>
        <v>Прямые затраты</v>
      </c>
      <c r="D87" s="158"/>
      <c r="E87" s="158"/>
      <c r="F87" s="158"/>
      <c r="G87" s="158"/>
      <c r="H87" s="158"/>
      <c r="I87" s="158"/>
      <c r="J87" s="159">
        <f>IF(Source!F64=0, "", Source!F64)</f>
        <v>7431.99</v>
      </c>
      <c r="K87" s="159"/>
    </row>
    <row r="88" spans="1:26" ht="13.8">
      <c r="C88" s="158" t="str">
        <f>Source!H77</f>
        <v>Основная ЗП рабочих</v>
      </c>
      <c r="D88" s="158"/>
      <c r="E88" s="158"/>
      <c r="F88" s="158"/>
      <c r="G88" s="158"/>
      <c r="H88" s="158"/>
      <c r="I88" s="158"/>
      <c r="J88" s="159">
        <f>IF(Source!F77=0, "", Source!F77)</f>
        <v>7039.08</v>
      </c>
      <c r="K88" s="159"/>
    </row>
    <row r="89" spans="1:26" ht="13.8">
      <c r="C89" s="158" t="str">
        <f>Source!H87</f>
        <v>Накладные расходы</v>
      </c>
      <c r="D89" s="158"/>
      <c r="E89" s="158"/>
      <c r="F89" s="158"/>
      <c r="G89" s="158"/>
      <c r="H89" s="158"/>
      <c r="I89" s="158"/>
      <c r="J89" s="159">
        <f>IF(Source!F87=0, "", Source!F87)</f>
        <v>4786.57</v>
      </c>
      <c r="K89" s="159"/>
    </row>
    <row r="90" spans="1:26" ht="13.8">
      <c r="C90" s="158" t="str">
        <f>Source!H88</f>
        <v>Сметная прибыль</v>
      </c>
      <c r="D90" s="158"/>
      <c r="E90" s="158"/>
      <c r="F90" s="158"/>
      <c r="G90" s="158"/>
      <c r="H90" s="158"/>
      <c r="I90" s="158"/>
      <c r="J90" s="159">
        <f>IF(Source!F88=0, "", Source!F88)</f>
        <v>3378.76</v>
      </c>
      <c r="K90" s="159"/>
    </row>
    <row r="91" spans="1:26" ht="13.8">
      <c r="A91" s="41" t="s">
        <v>75</v>
      </c>
      <c r="C91" s="158"/>
      <c r="D91" s="158"/>
      <c r="E91" s="158"/>
      <c r="F91" s="158"/>
      <c r="G91" s="158"/>
      <c r="H91" s="158"/>
      <c r="I91" s="158"/>
      <c r="J91" s="159">
        <f>IF(Source!F89=0, "", Source!F89)</f>
        <v>15597.32</v>
      </c>
      <c r="K91" s="159"/>
      <c r="M91" s="104">
        <f>J91*0.2</f>
        <v>3119.4639999999999</v>
      </c>
    </row>
    <row r="93" spans="1:26" ht="13.8">
      <c r="D93" s="44" t="s">
        <v>229</v>
      </c>
    </row>
    <row r="97" spans="1:13">
      <c r="A97">
        <v>1</v>
      </c>
      <c r="B97" s="36" t="s">
        <v>262</v>
      </c>
      <c r="C97" s="37" t="s">
        <v>234</v>
      </c>
      <c r="D97" t="s">
        <v>230</v>
      </c>
      <c r="E97">
        <v>1</v>
      </c>
      <c r="F97" s="38">
        <v>35574.58</v>
      </c>
      <c r="H97" s="38">
        <f>F97*E97</f>
        <v>35574.58</v>
      </c>
    </row>
    <row r="100" spans="1:13" ht="13.8">
      <c r="A100" s="41" t="s">
        <v>231</v>
      </c>
      <c r="F100" s="38"/>
      <c r="G100" s="45"/>
      <c r="H100" s="38">
        <f>H97</f>
        <v>35574.58</v>
      </c>
    </row>
    <row r="102" spans="1:13" ht="13.8">
      <c r="A102" s="41" t="s">
        <v>232</v>
      </c>
      <c r="H102" s="46">
        <f>H100+J91</f>
        <v>51171.9</v>
      </c>
      <c r="M102">
        <f>H102*0.2</f>
        <v>10234.380000000001</v>
      </c>
    </row>
    <row r="103" spans="1:13" ht="13.8">
      <c r="A103" s="21"/>
      <c r="B103" s="21"/>
      <c r="C103" s="21"/>
      <c r="D103" s="21"/>
      <c r="E103" s="21"/>
      <c r="F103" s="21"/>
      <c r="G103" s="23"/>
      <c r="H103" s="21"/>
      <c r="I103" s="21"/>
      <c r="J103" s="23"/>
      <c r="K103" s="21"/>
      <c r="L103" s="25"/>
    </row>
    <row r="107" spans="1:13" ht="13.8">
      <c r="A107" s="34" t="s">
        <v>212</v>
      </c>
      <c r="B107" s="34"/>
      <c r="C107" s="17" t="s">
        <v>213</v>
      </c>
      <c r="D107" s="35" t="str">
        <f>IF(Source!AC12&lt;&gt;"", Source!AC12," ")</f>
        <v xml:space="preserve"> </v>
      </c>
      <c r="E107" s="35"/>
      <c r="F107" s="35"/>
      <c r="G107" s="35"/>
      <c r="H107" s="35"/>
      <c r="I107" s="13" t="str">
        <f>IF(Source!AB12&lt;&gt;"", Source!AB12," ")</f>
        <v xml:space="preserve"> </v>
      </c>
      <c r="J107" s="13"/>
      <c r="K107" s="13"/>
      <c r="L107" s="13"/>
    </row>
    <row r="108" spans="1:13" ht="13.8">
      <c r="A108" s="13"/>
      <c r="B108" s="13"/>
      <c r="C108" s="17"/>
      <c r="D108" s="160" t="s">
        <v>214</v>
      </c>
      <c r="E108" s="160"/>
      <c r="F108" s="160"/>
      <c r="G108" s="160"/>
      <c r="H108" s="160"/>
      <c r="I108" s="13"/>
      <c r="J108" s="13"/>
      <c r="K108" s="13"/>
      <c r="L108" s="13"/>
    </row>
    <row r="109" spans="1:13" ht="13.8">
      <c r="A109" s="13"/>
      <c r="B109" s="13"/>
      <c r="C109" s="17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1:13" ht="13.8">
      <c r="A110" s="34" t="s">
        <v>212</v>
      </c>
      <c r="B110" s="34"/>
      <c r="C110" s="17" t="s">
        <v>215</v>
      </c>
      <c r="D110" s="35" t="str">
        <f>IF(Source!AE12&lt;&gt;"", Source!AE12," ")</f>
        <v xml:space="preserve"> </v>
      </c>
      <c r="E110" s="35"/>
      <c r="F110" s="35"/>
      <c r="G110" s="35"/>
      <c r="H110" s="35"/>
      <c r="I110" s="13" t="str">
        <f>IF(Source!AD12&lt;&gt;"", Source!AD12," ")</f>
        <v xml:space="preserve"> </v>
      </c>
      <c r="J110" s="13"/>
      <c r="K110" s="13"/>
      <c r="L110" s="13"/>
    </row>
    <row r="111" spans="1:13" ht="13.8">
      <c r="A111" s="13"/>
      <c r="B111" s="13"/>
      <c r="C111" s="13"/>
      <c r="D111" s="160" t="s">
        <v>214</v>
      </c>
      <c r="E111" s="160"/>
      <c r="F111" s="160"/>
      <c r="G111" s="160"/>
      <c r="H111" s="160"/>
      <c r="I111" s="13"/>
      <c r="J111" s="13"/>
      <c r="K111" s="13"/>
      <c r="L111" s="13"/>
    </row>
  </sheetData>
  <mergeCells count="102">
    <mergeCell ref="C91:I91"/>
    <mergeCell ref="J91:K91"/>
    <mergeCell ref="D108:H108"/>
    <mergeCell ref="D111:H111"/>
    <mergeCell ref="C88:I88"/>
    <mergeCell ref="J88:K88"/>
    <mergeCell ref="C89:I89"/>
    <mergeCell ref="J89:K89"/>
    <mergeCell ref="C90:I90"/>
    <mergeCell ref="J90:K90"/>
    <mergeCell ref="C64:F64"/>
    <mergeCell ref="G64:H64"/>
    <mergeCell ref="I64:J64"/>
    <mergeCell ref="K64:L64"/>
    <mergeCell ref="A66:L66"/>
    <mergeCell ref="C87:I87"/>
    <mergeCell ref="J87:K87"/>
    <mergeCell ref="C62:F62"/>
    <mergeCell ref="G62:H62"/>
    <mergeCell ref="I62:J62"/>
    <mergeCell ref="K62:L62"/>
    <mergeCell ref="C63:F63"/>
    <mergeCell ref="G63:H63"/>
    <mergeCell ref="I63:J63"/>
    <mergeCell ref="K63:L63"/>
    <mergeCell ref="C60:F60"/>
    <mergeCell ref="G60:H60"/>
    <mergeCell ref="I60:J60"/>
    <mergeCell ref="K60:L60"/>
    <mergeCell ref="C61:F61"/>
    <mergeCell ref="G61:H61"/>
    <mergeCell ref="I61:J61"/>
    <mergeCell ref="K61:L61"/>
    <mergeCell ref="C58:F58"/>
    <mergeCell ref="G58:H58"/>
    <mergeCell ref="I58:J58"/>
    <mergeCell ref="K58:L58"/>
    <mergeCell ref="C59:F59"/>
    <mergeCell ref="G59:H59"/>
    <mergeCell ref="I59:J59"/>
    <mergeCell ref="K59:L59"/>
    <mergeCell ref="B46:K46"/>
    <mergeCell ref="G57:H57"/>
    <mergeCell ref="I57:J57"/>
    <mergeCell ref="B50:K50"/>
    <mergeCell ref="B52:K52"/>
    <mergeCell ref="B53:K53"/>
    <mergeCell ref="A55:L55"/>
    <mergeCell ref="C37:I37"/>
    <mergeCell ref="J37:K37"/>
    <mergeCell ref="C39:I39"/>
    <mergeCell ref="J39:K39"/>
    <mergeCell ref="D42:H42"/>
    <mergeCell ref="D45:H45"/>
    <mergeCell ref="C34:I34"/>
    <mergeCell ref="J34:K34"/>
    <mergeCell ref="C35:I35"/>
    <mergeCell ref="J35:K35"/>
    <mergeCell ref="C36:I36"/>
    <mergeCell ref="J36:K36"/>
    <mergeCell ref="C18:F18"/>
    <mergeCell ref="G18:H18"/>
    <mergeCell ref="I18:J18"/>
    <mergeCell ref="K18:L18"/>
    <mergeCell ref="A20:L20"/>
    <mergeCell ref="C33:I33"/>
    <mergeCell ref="J33:K33"/>
    <mergeCell ref="C16:F16"/>
    <mergeCell ref="G16:H16"/>
    <mergeCell ref="I16:J16"/>
    <mergeCell ref="K16:L16"/>
    <mergeCell ref="C17:F17"/>
    <mergeCell ref="G17:H17"/>
    <mergeCell ref="I17:J17"/>
    <mergeCell ref="K17:L17"/>
    <mergeCell ref="G14:H14"/>
    <mergeCell ref="I14:J14"/>
    <mergeCell ref="K14:L14"/>
    <mergeCell ref="C15:F15"/>
    <mergeCell ref="G15:H15"/>
    <mergeCell ref="I15:J15"/>
    <mergeCell ref="K15:L15"/>
    <mergeCell ref="J1:L1"/>
    <mergeCell ref="H2:K2"/>
    <mergeCell ref="J47:L47"/>
    <mergeCell ref="H48:K48"/>
    <mergeCell ref="B4:K4"/>
    <mergeCell ref="G11:H11"/>
    <mergeCell ref="I11:J11"/>
    <mergeCell ref="C12:F12"/>
    <mergeCell ref="G12:H12"/>
    <mergeCell ref="I12:J12"/>
    <mergeCell ref="B6:K6"/>
    <mergeCell ref="B7:K7"/>
    <mergeCell ref="A9:L9"/>
    <mergeCell ref="C38:F38"/>
    <mergeCell ref="K12:L12"/>
    <mergeCell ref="C13:F13"/>
    <mergeCell ref="G13:H13"/>
    <mergeCell ref="I13:J13"/>
    <mergeCell ref="K13:L13"/>
    <mergeCell ref="C14:F14"/>
  </mergeCells>
  <phoneticPr fontId="0" type="noConversion"/>
  <pageMargins left="0.4" right="0.2" top="0.2" bottom="0.4" header="0.2" footer="0.2"/>
  <pageSetup paperSize="9" scale="83" orientation="landscape" r:id="rId1"/>
  <headerFooter alignWithMargins="0"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K154"/>
  <sheetViews>
    <sheetView topLeftCell="A47" workbookViewId="0">
      <selection activeCell="G60" sqref="G60"/>
    </sheetView>
  </sheetViews>
  <sheetFormatPr defaultColWidth="9.109375" defaultRowHeight="13.2"/>
  <sheetData>
    <row r="1" spans="1:133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14465</v>
      </c>
      <c r="M1">
        <v>10</v>
      </c>
      <c r="N1">
        <v>10</v>
      </c>
      <c r="O1">
        <v>1</v>
      </c>
      <c r="P1">
        <v>0</v>
      </c>
      <c r="Q1">
        <v>11</v>
      </c>
    </row>
    <row r="12" spans="1:133">
      <c r="A12" s="1">
        <v>1</v>
      </c>
      <c r="B12" s="1">
        <v>149</v>
      </c>
      <c r="C12" s="1">
        <v>0</v>
      </c>
      <c r="D12" s="1">
        <f>ROW(A91)</f>
        <v>91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10</v>
      </c>
      <c r="CE12" s="1" t="s">
        <v>11</v>
      </c>
      <c r="CF12" s="1">
        <v>0</v>
      </c>
      <c r="CG12" s="1">
        <v>0</v>
      </c>
      <c r="CH12" s="1">
        <v>524296</v>
      </c>
      <c r="CI12" s="1" t="s">
        <v>3</v>
      </c>
      <c r="CJ12" s="1" t="s">
        <v>3</v>
      </c>
      <c r="CK12" s="1">
        <v>2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>
      <c r="A18" s="2">
        <v>52</v>
      </c>
      <c r="B18" s="2">
        <f t="shared" ref="B18:G18" si="0">B91</f>
        <v>149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/>
      </c>
      <c r="G18" s="2" t="str">
        <f t="shared" si="0"/>
        <v>Камеры</v>
      </c>
      <c r="H18" s="2"/>
      <c r="I18" s="2"/>
      <c r="J18" s="2"/>
      <c r="K18" s="2"/>
      <c r="L18" s="2"/>
      <c r="M18" s="2"/>
      <c r="N18" s="2"/>
      <c r="O18" s="2">
        <f t="shared" ref="O18:AT18" si="1">O91</f>
        <v>8961.0499999999993</v>
      </c>
      <c r="P18" s="2">
        <f t="shared" si="1"/>
        <v>392.91</v>
      </c>
      <c r="Q18" s="2">
        <f t="shared" si="1"/>
        <v>0</v>
      </c>
      <c r="R18" s="2">
        <f t="shared" si="1"/>
        <v>0</v>
      </c>
      <c r="S18" s="2">
        <f t="shared" si="1"/>
        <v>8568.14</v>
      </c>
      <c r="T18" s="2">
        <f t="shared" si="1"/>
        <v>0</v>
      </c>
      <c r="U18" s="2">
        <f t="shared" si="1"/>
        <v>23.5</v>
      </c>
      <c r="V18" s="2">
        <f t="shared" si="1"/>
        <v>0</v>
      </c>
      <c r="W18" s="2">
        <f t="shared" si="1"/>
        <v>0</v>
      </c>
      <c r="X18" s="2">
        <f t="shared" si="1"/>
        <v>5826.33</v>
      </c>
      <c r="Y18" s="2">
        <f t="shared" si="1"/>
        <v>4112.71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18900.09</v>
      </c>
      <c r="AS18" s="2">
        <f t="shared" si="1"/>
        <v>0</v>
      </c>
      <c r="AT18" s="2">
        <f t="shared" si="1"/>
        <v>18900.09</v>
      </c>
      <c r="AU18" s="2">
        <f t="shared" ref="AU18:BZ18" si="2">AU91</f>
        <v>0</v>
      </c>
      <c r="AV18" s="2">
        <f t="shared" si="2"/>
        <v>392.91</v>
      </c>
      <c r="AW18" s="2">
        <f t="shared" si="2"/>
        <v>392.91</v>
      </c>
      <c r="AX18" s="2">
        <f t="shared" si="2"/>
        <v>0</v>
      </c>
      <c r="AY18" s="2">
        <f t="shared" si="2"/>
        <v>392.91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CA91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DG91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EM91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FS91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>
      <c r="A20" s="1">
        <v>3</v>
      </c>
      <c r="B20" s="1">
        <v>1</v>
      </c>
      <c r="C20" s="1"/>
      <c r="D20" s="1">
        <f>ROW(A26)</f>
        <v>26</v>
      </c>
      <c r="E20" s="1"/>
      <c r="F20" s="1" t="s">
        <v>3</v>
      </c>
      <c r="G20" s="1" t="s">
        <v>12</v>
      </c>
      <c r="H20" s="1" t="s">
        <v>3</v>
      </c>
      <c r="I20" s="1">
        <v>0</v>
      </c>
      <c r="J20" s="1" t="s">
        <v>3</v>
      </c>
      <c r="K20" s="1">
        <v>-1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45">
      <c r="A22" s="2">
        <v>52</v>
      </c>
      <c r="B22" s="2">
        <f t="shared" ref="B22:G22" si="7">B26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/>
      </c>
      <c r="G22" s="2" t="str">
        <f t="shared" si="7"/>
        <v>Демонтажные работы</v>
      </c>
      <c r="H22" s="2"/>
      <c r="I22" s="2"/>
      <c r="J22" s="2"/>
      <c r="K22" s="2"/>
      <c r="L22" s="2"/>
      <c r="M22" s="2"/>
      <c r="N22" s="2"/>
      <c r="O22" s="2">
        <f t="shared" ref="O22:AT22" si="8">O26</f>
        <v>1529.06</v>
      </c>
      <c r="P22" s="2">
        <f t="shared" si="8"/>
        <v>0</v>
      </c>
      <c r="Q22" s="2">
        <f t="shared" si="8"/>
        <v>0</v>
      </c>
      <c r="R22" s="2">
        <f t="shared" si="8"/>
        <v>0</v>
      </c>
      <c r="S22" s="2">
        <f t="shared" si="8"/>
        <v>1529.06</v>
      </c>
      <c r="T22" s="2">
        <f t="shared" si="8"/>
        <v>0</v>
      </c>
      <c r="U22" s="2">
        <f t="shared" si="8"/>
        <v>4.5</v>
      </c>
      <c r="V22" s="2">
        <f t="shared" si="8"/>
        <v>0</v>
      </c>
      <c r="W22" s="2">
        <f t="shared" si="8"/>
        <v>0</v>
      </c>
      <c r="X22" s="2">
        <f t="shared" si="8"/>
        <v>1039.76</v>
      </c>
      <c r="Y22" s="2">
        <f t="shared" si="8"/>
        <v>733.95</v>
      </c>
      <c r="Z22" s="2">
        <f t="shared" si="8"/>
        <v>0</v>
      </c>
      <c r="AA22" s="2">
        <f t="shared" si="8"/>
        <v>0</v>
      </c>
      <c r="AB22" s="2">
        <f t="shared" si="8"/>
        <v>1529.06</v>
      </c>
      <c r="AC22" s="2">
        <f t="shared" si="8"/>
        <v>0</v>
      </c>
      <c r="AD22" s="2">
        <f t="shared" si="8"/>
        <v>0</v>
      </c>
      <c r="AE22" s="2">
        <f t="shared" si="8"/>
        <v>0</v>
      </c>
      <c r="AF22" s="2">
        <f t="shared" si="8"/>
        <v>1529.06</v>
      </c>
      <c r="AG22" s="2">
        <f t="shared" si="8"/>
        <v>0</v>
      </c>
      <c r="AH22" s="2">
        <f t="shared" si="8"/>
        <v>4.5</v>
      </c>
      <c r="AI22" s="2">
        <f t="shared" si="8"/>
        <v>0</v>
      </c>
      <c r="AJ22" s="2">
        <f t="shared" si="8"/>
        <v>0</v>
      </c>
      <c r="AK22" s="2">
        <f t="shared" si="8"/>
        <v>1039.76</v>
      </c>
      <c r="AL22" s="2">
        <f t="shared" si="8"/>
        <v>733.95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3302.77</v>
      </c>
      <c r="AS22" s="2">
        <f t="shared" si="8"/>
        <v>0</v>
      </c>
      <c r="AT22" s="2">
        <f t="shared" si="8"/>
        <v>3302.77</v>
      </c>
      <c r="AU22" s="2">
        <f t="shared" ref="AU22:BZ22" si="9">AU26</f>
        <v>0</v>
      </c>
      <c r="AV22" s="2">
        <f t="shared" si="9"/>
        <v>0</v>
      </c>
      <c r="AW22" s="2">
        <f t="shared" si="9"/>
        <v>0</v>
      </c>
      <c r="AX22" s="2">
        <f t="shared" si="9"/>
        <v>0</v>
      </c>
      <c r="AY22" s="2">
        <f t="shared" si="9"/>
        <v>0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0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CA26</f>
        <v>3302.77</v>
      </c>
      <c r="CB22" s="2">
        <f t="shared" si="10"/>
        <v>0</v>
      </c>
      <c r="CC22" s="2">
        <f t="shared" si="10"/>
        <v>3302.77</v>
      </c>
      <c r="CD22" s="2">
        <f t="shared" si="10"/>
        <v>0</v>
      </c>
      <c r="CE22" s="2">
        <f t="shared" si="10"/>
        <v>0</v>
      </c>
      <c r="CF22" s="2">
        <f t="shared" si="10"/>
        <v>0</v>
      </c>
      <c r="CG22" s="2">
        <f t="shared" si="10"/>
        <v>0</v>
      </c>
      <c r="CH22" s="2">
        <f t="shared" si="10"/>
        <v>0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DG26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EM26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FS26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>
      <c r="A24">
        <v>17</v>
      </c>
      <c r="B24">
        <v>1</v>
      </c>
      <c r="C24">
        <f>ROW(SmtRes!A9)</f>
        <v>9</v>
      </c>
      <c r="D24">
        <f>ROW(EtalonRes!A10)</f>
        <v>10</v>
      </c>
      <c r="E24" t="s">
        <v>13</v>
      </c>
      <c r="F24" t="s">
        <v>14</v>
      </c>
      <c r="G24" t="s">
        <v>221</v>
      </c>
      <c r="H24" t="s">
        <v>15</v>
      </c>
      <c r="I24">
        <v>1</v>
      </c>
      <c r="J24">
        <v>0</v>
      </c>
      <c r="O24">
        <f>ROUND(CP24,2)</f>
        <v>1529.06</v>
      </c>
      <c r="P24">
        <f>ROUND(CQ24*I24,2)</f>
        <v>0</v>
      </c>
      <c r="Q24">
        <f>ROUND(CR24*I24,2)</f>
        <v>0</v>
      </c>
      <c r="R24">
        <f>ROUND(CS24*I24,2)</f>
        <v>0</v>
      </c>
      <c r="S24">
        <f>ROUND(CT24*I24,2)</f>
        <v>1529.06</v>
      </c>
      <c r="T24">
        <f>ROUND(CU24*I24,2)</f>
        <v>0</v>
      </c>
      <c r="U24">
        <f>CV24*I24</f>
        <v>4.5</v>
      </c>
      <c r="V24">
        <f>CW24*I24</f>
        <v>0</v>
      </c>
      <c r="W24">
        <f>ROUND(CX24*I24,2)</f>
        <v>0</v>
      </c>
      <c r="X24">
        <f>ROUND(CY24,2)</f>
        <v>1039.76</v>
      </c>
      <c r="Y24">
        <f>ROUND(CZ24,2)</f>
        <v>733.95</v>
      </c>
      <c r="AA24">
        <v>33052118</v>
      </c>
      <c r="AB24">
        <f>ROUND((AC24+AD24+AF24),6)</f>
        <v>46.575000000000003</v>
      </c>
      <c r="AC24">
        <f>ROUND(((ES24*0)),6)</f>
        <v>0</v>
      </c>
      <c r="AD24">
        <f>ROUND(((((ET24*1.2*0.3))-((EU24*1.2*0.3)))+AE24),6)</f>
        <v>0</v>
      </c>
      <c r="AE24">
        <f>ROUND(((EU24*1.2*0.3)),6)</f>
        <v>0</v>
      </c>
      <c r="AF24">
        <f>ROUND(((EV24*0.3)),6)</f>
        <v>46.575000000000003</v>
      </c>
      <c r="AG24">
        <f>ROUND((AP24),6)</f>
        <v>0</v>
      </c>
      <c r="AH24">
        <f>((EW24*0.3))</f>
        <v>4.5</v>
      </c>
      <c r="AI24">
        <f>((EX24*1.2*0.3))</f>
        <v>0</v>
      </c>
      <c r="AJ24">
        <f>(AS24)</f>
        <v>0</v>
      </c>
      <c r="AK24">
        <v>210.59</v>
      </c>
      <c r="AL24">
        <v>55.34</v>
      </c>
      <c r="AM24">
        <v>0</v>
      </c>
      <c r="AN24">
        <v>0</v>
      </c>
      <c r="AO24">
        <v>155.25</v>
      </c>
      <c r="AP24">
        <v>0</v>
      </c>
      <c r="AQ24">
        <v>15</v>
      </c>
      <c r="AR24">
        <v>0</v>
      </c>
      <c r="AS24">
        <v>0</v>
      </c>
      <c r="AT24">
        <v>68</v>
      </c>
      <c r="AU24">
        <v>48</v>
      </c>
      <c r="AV24">
        <v>1</v>
      </c>
      <c r="AW24">
        <v>1</v>
      </c>
      <c r="AZ24">
        <v>1</v>
      </c>
      <c r="BA24">
        <v>32.83</v>
      </c>
      <c r="BB24">
        <v>1</v>
      </c>
      <c r="BC24">
        <v>7.1</v>
      </c>
      <c r="BD24" t="s">
        <v>3</v>
      </c>
      <c r="BE24" t="s">
        <v>3</v>
      </c>
      <c r="BF24" t="s">
        <v>3</v>
      </c>
      <c r="BG24" t="s">
        <v>3</v>
      </c>
      <c r="BH24">
        <v>0</v>
      </c>
      <c r="BI24">
        <v>2</v>
      </c>
      <c r="BJ24" t="s">
        <v>16</v>
      </c>
      <c r="BM24">
        <v>110011</v>
      </c>
      <c r="BN24">
        <v>0</v>
      </c>
      <c r="BO24" t="s">
        <v>14</v>
      </c>
      <c r="BP24">
        <v>1</v>
      </c>
      <c r="BQ24">
        <v>3</v>
      </c>
      <c r="BR24">
        <v>0</v>
      </c>
      <c r="BS24">
        <v>32.83</v>
      </c>
      <c r="BT24">
        <v>1</v>
      </c>
      <c r="BU24">
        <v>1</v>
      </c>
      <c r="BV24">
        <v>1</v>
      </c>
      <c r="BW24">
        <v>1</v>
      </c>
      <c r="BX24">
        <v>1</v>
      </c>
      <c r="BY24" t="s">
        <v>3</v>
      </c>
      <c r="BZ24">
        <v>80</v>
      </c>
      <c r="CA24">
        <v>60</v>
      </c>
      <c r="CE24">
        <v>0</v>
      </c>
      <c r="CF24">
        <v>0</v>
      </c>
      <c r="CG24">
        <v>0</v>
      </c>
      <c r="CM24">
        <v>0</v>
      </c>
      <c r="CN24" t="s">
        <v>3</v>
      </c>
      <c r="CO24">
        <v>0</v>
      </c>
      <c r="CP24">
        <f>(P24+Q24+S24)</f>
        <v>1529.06</v>
      </c>
      <c r="CQ24">
        <f>AC24*BC24</f>
        <v>0</v>
      </c>
      <c r="CR24">
        <f>AD24*BB24</f>
        <v>0</v>
      </c>
      <c r="CS24">
        <f>AE24*BS24</f>
        <v>0</v>
      </c>
      <c r="CT24">
        <f>AF24*BA24</f>
        <v>1529.0572500000001</v>
      </c>
      <c r="CU24">
        <f>AG24</f>
        <v>0</v>
      </c>
      <c r="CV24">
        <f>AH24</f>
        <v>4.5</v>
      </c>
      <c r="CW24">
        <f>AI24</f>
        <v>0</v>
      </c>
      <c r="CX24">
        <f>AJ24</f>
        <v>0</v>
      </c>
      <c r="CY24">
        <f>(((S24+R24)*AT24)/100)</f>
        <v>1039.7608</v>
      </c>
      <c r="CZ24">
        <f>(((S24+R24)*AU24)/100)</f>
        <v>733.94880000000001</v>
      </c>
      <c r="DC24" t="s">
        <v>3</v>
      </c>
      <c r="DD24" t="s">
        <v>17</v>
      </c>
      <c r="DE24" t="s">
        <v>220</v>
      </c>
      <c r="DF24" t="s">
        <v>220</v>
      </c>
      <c r="DG24" t="s">
        <v>220</v>
      </c>
      <c r="DH24" t="s">
        <v>3</v>
      </c>
      <c r="DI24" t="s">
        <v>220</v>
      </c>
      <c r="DJ24" t="s">
        <v>220</v>
      </c>
      <c r="DK24" t="s">
        <v>3</v>
      </c>
      <c r="DL24" t="s">
        <v>3</v>
      </c>
      <c r="DM24" t="s">
        <v>3</v>
      </c>
      <c r="DN24">
        <v>0</v>
      </c>
      <c r="DO24">
        <v>0</v>
      </c>
      <c r="DP24">
        <v>1</v>
      </c>
      <c r="DQ24">
        <v>1</v>
      </c>
      <c r="DU24">
        <v>1013</v>
      </c>
      <c r="DV24" t="s">
        <v>15</v>
      </c>
      <c r="DW24" t="s">
        <v>15</v>
      </c>
      <c r="DX24">
        <v>1</v>
      </c>
      <c r="EE24">
        <v>32760000</v>
      </c>
      <c r="EF24">
        <v>3</v>
      </c>
      <c r="EG24" t="s">
        <v>19</v>
      </c>
      <c r="EH24">
        <v>0</v>
      </c>
      <c r="EI24" t="s">
        <v>3</v>
      </c>
      <c r="EJ24">
        <v>2</v>
      </c>
      <c r="EK24">
        <v>110011</v>
      </c>
      <c r="EL24" t="s">
        <v>20</v>
      </c>
      <c r="EM24" t="s">
        <v>21</v>
      </c>
      <c r="EO24" t="s">
        <v>3</v>
      </c>
      <c r="EQ24">
        <v>0</v>
      </c>
      <c r="ER24">
        <v>210.59</v>
      </c>
      <c r="ES24">
        <v>55.34</v>
      </c>
      <c r="ET24">
        <v>0</v>
      </c>
      <c r="EU24">
        <v>0</v>
      </c>
      <c r="EV24">
        <v>155.25</v>
      </c>
      <c r="EW24">
        <v>15</v>
      </c>
      <c r="EX24">
        <v>0</v>
      </c>
      <c r="EY24">
        <v>0</v>
      </c>
      <c r="FQ24">
        <v>0</v>
      </c>
      <c r="FR24">
        <f>ROUND(IF(AND(BH24=3,BI24=3),P24,0),2)</f>
        <v>0</v>
      </c>
      <c r="FS24">
        <v>0</v>
      </c>
      <c r="FV24" t="s">
        <v>22</v>
      </c>
      <c r="FW24" t="s">
        <v>23</v>
      </c>
      <c r="FX24">
        <v>80</v>
      </c>
      <c r="FY24">
        <v>60</v>
      </c>
      <c r="GA24" t="s">
        <v>3</v>
      </c>
      <c r="GD24">
        <v>1</v>
      </c>
      <c r="GF24">
        <v>135218797</v>
      </c>
      <c r="GG24">
        <v>2</v>
      </c>
      <c r="GH24">
        <v>1</v>
      </c>
      <c r="GI24">
        <v>2</v>
      </c>
      <c r="GJ24">
        <v>0</v>
      </c>
      <c r="GK24">
        <v>0</v>
      </c>
      <c r="GL24">
        <f>ROUND(IF(AND(BH24=3,BI24=3,FS24&lt;&gt;0),P24,0),2)</f>
        <v>0</v>
      </c>
      <c r="GM24">
        <f>ROUND(O24+X24+Y24,2)+GX24</f>
        <v>3302.77</v>
      </c>
      <c r="GN24">
        <f>IF(OR(BI24=0,BI24=1),ROUND(O24+X24+Y24,2),0)</f>
        <v>0</v>
      </c>
      <c r="GO24">
        <f>IF(BI24=2,ROUND(O24+X24+Y24,2),0)</f>
        <v>3302.77</v>
      </c>
      <c r="GP24">
        <f>IF(BI24=4,ROUND(O24+X24+Y24,2)+GX24,0)</f>
        <v>0</v>
      </c>
      <c r="GR24">
        <v>0</v>
      </c>
      <c r="GS24">
        <v>3</v>
      </c>
      <c r="GT24">
        <v>0</v>
      </c>
      <c r="GU24" t="s">
        <v>3</v>
      </c>
      <c r="GV24">
        <f>ROUND((GT24),6)</f>
        <v>0</v>
      </c>
      <c r="GW24">
        <v>1</v>
      </c>
      <c r="GX24">
        <f>ROUND(HC24*I24,2)</f>
        <v>0</v>
      </c>
      <c r="HA24">
        <v>0</v>
      </c>
      <c r="HB24">
        <v>0</v>
      </c>
      <c r="HC24">
        <f>GV24*GW24</f>
        <v>0</v>
      </c>
      <c r="IK24">
        <v>0</v>
      </c>
    </row>
    <row r="26" spans="1:245">
      <c r="A26" s="2">
        <v>51</v>
      </c>
      <c r="B26" s="2">
        <f>B20</f>
        <v>1</v>
      </c>
      <c r="C26" s="2">
        <f>A20</f>
        <v>3</v>
      </c>
      <c r="D26" s="2">
        <f>ROW(A20)</f>
        <v>20</v>
      </c>
      <c r="E26" s="2"/>
      <c r="F26" s="2" t="str">
        <f>IF(F20&lt;&gt;"",F20,"")</f>
        <v/>
      </c>
      <c r="G26" s="2" t="str">
        <f>IF(G20&lt;&gt;"",G20,"")</f>
        <v>Демонтажные работы</v>
      </c>
      <c r="H26" s="2">
        <v>0</v>
      </c>
      <c r="I26" s="2"/>
      <c r="J26" s="2"/>
      <c r="K26" s="2"/>
      <c r="L26" s="2"/>
      <c r="M26" s="2"/>
      <c r="N26" s="2"/>
      <c r="O26" s="2">
        <f t="shared" ref="O26:T26" si="14">ROUND(AB26,2)</f>
        <v>1529.06</v>
      </c>
      <c r="P26" s="2">
        <f t="shared" si="14"/>
        <v>0</v>
      </c>
      <c r="Q26" s="2">
        <f t="shared" si="14"/>
        <v>0</v>
      </c>
      <c r="R26" s="2">
        <f t="shared" si="14"/>
        <v>0</v>
      </c>
      <c r="S26" s="2">
        <f t="shared" si="14"/>
        <v>1529.06</v>
      </c>
      <c r="T26" s="2">
        <f t="shared" si="14"/>
        <v>0</v>
      </c>
      <c r="U26" s="2">
        <f>AH26</f>
        <v>4.5</v>
      </c>
      <c r="V26" s="2">
        <f>AI26</f>
        <v>0</v>
      </c>
      <c r="W26" s="2">
        <f>ROUND(AJ26,2)</f>
        <v>0</v>
      </c>
      <c r="X26" s="2">
        <f>ROUND(AK26,2)</f>
        <v>1039.76</v>
      </c>
      <c r="Y26" s="2">
        <f>ROUND(AL26,2)</f>
        <v>733.95</v>
      </c>
      <c r="Z26" s="2"/>
      <c r="AA26" s="2"/>
      <c r="AB26" s="2">
        <f>ROUND(SUMIF(AA24:AA24,"=33052118",O24:O24),2)</f>
        <v>1529.06</v>
      </c>
      <c r="AC26" s="2">
        <f>ROUND(SUMIF(AA24:AA24,"=33052118",P24:P24),2)</f>
        <v>0</v>
      </c>
      <c r="AD26" s="2">
        <f>ROUND(SUMIF(AA24:AA24,"=33052118",Q24:Q24),2)</f>
        <v>0</v>
      </c>
      <c r="AE26" s="2">
        <f>ROUND(SUMIF(AA24:AA24,"=33052118",R24:R24),2)</f>
        <v>0</v>
      </c>
      <c r="AF26" s="2">
        <f>ROUND(SUMIF(AA24:AA24,"=33052118",S24:S24),2)</f>
        <v>1529.06</v>
      </c>
      <c r="AG26" s="2">
        <f>ROUND(SUMIF(AA24:AA24,"=33052118",T24:T24),2)</f>
        <v>0</v>
      </c>
      <c r="AH26" s="2">
        <f>SUMIF(AA24:AA24,"=33052118",U24:U24)</f>
        <v>4.5</v>
      </c>
      <c r="AI26" s="2">
        <f>SUMIF(AA24:AA24,"=33052118",V24:V24)</f>
        <v>0</v>
      </c>
      <c r="AJ26" s="2">
        <f>ROUND(SUMIF(AA24:AA24,"=33052118",W24:W24),2)</f>
        <v>0</v>
      </c>
      <c r="AK26" s="2">
        <f>ROUND(SUMIF(AA24:AA24,"=33052118",X24:X24),2)</f>
        <v>1039.76</v>
      </c>
      <c r="AL26" s="2">
        <f>ROUND(SUMIF(AA24:AA24,"=33052118",Y24:Y24),2)</f>
        <v>733.95</v>
      </c>
      <c r="AM26" s="2"/>
      <c r="AN26" s="2"/>
      <c r="AO26" s="2">
        <f t="shared" ref="AO26:BC26" si="15">ROUND(BX26,2)</f>
        <v>0</v>
      </c>
      <c r="AP26" s="2">
        <f t="shared" si="15"/>
        <v>0</v>
      </c>
      <c r="AQ26" s="2">
        <f t="shared" si="15"/>
        <v>0</v>
      </c>
      <c r="AR26" s="2">
        <f t="shared" si="15"/>
        <v>3302.77</v>
      </c>
      <c r="AS26" s="2">
        <f t="shared" si="15"/>
        <v>0</v>
      </c>
      <c r="AT26" s="2">
        <f t="shared" si="15"/>
        <v>3302.77</v>
      </c>
      <c r="AU26" s="2">
        <f t="shared" si="15"/>
        <v>0</v>
      </c>
      <c r="AV26" s="2">
        <f t="shared" si="15"/>
        <v>0</v>
      </c>
      <c r="AW26" s="2">
        <f t="shared" si="15"/>
        <v>0</v>
      </c>
      <c r="AX26" s="2">
        <f t="shared" si="15"/>
        <v>0</v>
      </c>
      <c r="AY26" s="2">
        <f t="shared" si="15"/>
        <v>0</v>
      </c>
      <c r="AZ26" s="2">
        <f t="shared" si="15"/>
        <v>0</v>
      </c>
      <c r="BA26" s="2">
        <f t="shared" si="15"/>
        <v>0</v>
      </c>
      <c r="BB26" s="2">
        <f t="shared" si="15"/>
        <v>0</v>
      </c>
      <c r="BC26" s="2">
        <f t="shared" si="15"/>
        <v>0</v>
      </c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>
        <f>ROUND(SUMIF(AA24:AA24,"=33052118",FQ24:FQ24),2)</f>
        <v>0</v>
      </c>
      <c r="BY26" s="2">
        <f>ROUND(SUMIF(AA24:AA24,"=33052118",FR24:FR24),2)</f>
        <v>0</v>
      </c>
      <c r="BZ26" s="2">
        <f>ROUND(SUMIF(AA24:AA24,"=33052118",GL24:GL24),2)</f>
        <v>0</v>
      </c>
      <c r="CA26" s="2">
        <f>ROUND(SUMIF(AA24:AA24,"=33052118",GM24:GM24),2)</f>
        <v>3302.77</v>
      </c>
      <c r="CB26" s="2">
        <f>ROUND(SUMIF(AA24:AA24,"=33052118",GN24:GN24),2)</f>
        <v>0</v>
      </c>
      <c r="CC26" s="2">
        <f>ROUND(SUMIF(AA24:AA24,"=33052118",GO24:GO24),2)</f>
        <v>3302.77</v>
      </c>
      <c r="CD26" s="2">
        <f>ROUND(SUMIF(AA24:AA24,"=33052118",GP24:GP24),2)</f>
        <v>0</v>
      </c>
      <c r="CE26" s="2">
        <f>AC26-BX26</f>
        <v>0</v>
      </c>
      <c r="CF26" s="2">
        <f>AC26-BY26</f>
        <v>0</v>
      </c>
      <c r="CG26" s="2">
        <f>BX26-BZ26</f>
        <v>0</v>
      </c>
      <c r="CH26" s="2">
        <f>AC26-BX26-BY26+BZ26</f>
        <v>0</v>
      </c>
      <c r="CI26" s="2">
        <f>BY26-BZ26</f>
        <v>0</v>
      </c>
      <c r="CJ26" s="2">
        <f>ROUND(SUMIF(AA24:AA24,"=33052118",GX24:GX24),2)</f>
        <v>0</v>
      </c>
      <c r="CK26" s="2">
        <f>ROUND(SUMIF(AA24:AA24,"=33052118",GY24:GY24),2)</f>
        <v>0</v>
      </c>
      <c r="CL26" s="2">
        <f>ROUND(SUMIF(AA24:AA24,"=33052118",GZ24:GZ24),2)</f>
        <v>0</v>
      </c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>
        <v>0</v>
      </c>
    </row>
    <row r="28" spans="1:245">
      <c r="A28" s="4">
        <v>50</v>
      </c>
      <c r="B28" s="4">
        <v>1</v>
      </c>
      <c r="C28" s="4">
        <v>0</v>
      </c>
      <c r="D28" s="4">
        <v>1</v>
      </c>
      <c r="E28" s="4">
        <v>201</v>
      </c>
      <c r="F28" s="4">
        <f>ROUND(Source!O26,O28)</f>
        <v>1529.06</v>
      </c>
      <c r="G28" s="4" t="s">
        <v>24</v>
      </c>
      <c r="H28" s="4" t="s">
        <v>25</v>
      </c>
      <c r="I28" s="4"/>
      <c r="J28" s="4"/>
      <c r="K28" s="4">
        <v>201</v>
      </c>
      <c r="L28" s="4">
        <v>1</v>
      </c>
      <c r="M28" s="4">
        <v>0</v>
      </c>
      <c r="N28" s="4" t="s">
        <v>3</v>
      </c>
      <c r="O28" s="4">
        <v>2</v>
      </c>
      <c r="P28" s="4"/>
      <c r="Q28" s="4"/>
      <c r="R28" s="4"/>
      <c r="S28" s="4"/>
      <c r="T28" s="4"/>
      <c r="U28" s="4"/>
      <c r="V28" s="4"/>
      <c r="W28" s="4"/>
    </row>
    <row r="29" spans="1:245">
      <c r="A29" s="4">
        <v>50</v>
      </c>
      <c r="B29" s="4">
        <v>0</v>
      </c>
      <c r="C29" s="4">
        <v>0</v>
      </c>
      <c r="D29" s="4">
        <v>1</v>
      </c>
      <c r="E29" s="4">
        <v>202</v>
      </c>
      <c r="F29" s="4">
        <f>ROUND(Source!P26,O29)</f>
        <v>0</v>
      </c>
      <c r="G29" s="4" t="s">
        <v>26</v>
      </c>
      <c r="H29" s="4" t="s">
        <v>27</v>
      </c>
      <c r="I29" s="4"/>
      <c r="J29" s="4"/>
      <c r="K29" s="4">
        <v>202</v>
      </c>
      <c r="L29" s="4">
        <v>2</v>
      </c>
      <c r="M29" s="4">
        <v>3</v>
      </c>
      <c r="N29" s="4" t="s">
        <v>3</v>
      </c>
      <c r="O29" s="4">
        <v>2</v>
      </c>
      <c r="P29" s="4"/>
      <c r="Q29" s="4"/>
      <c r="R29" s="4"/>
      <c r="S29" s="4"/>
      <c r="T29" s="4"/>
      <c r="U29" s="4"/>
      <c r="V29" s="4"/>
      <c r="W29" s="4"/>
    </row>
    <row r="30" spans="1:245">
      <c r="A30" s="4">
        <v>50</v>
      </c>
      <c r="B30" s="4">
        <v>0</v>
      </c>
      <c r="C30" s="4">
        <v>0</v>
      </c>
      <c r="D30" s="4">
        <v>1</v>
      </c>
      <c r="E30" s="4">
        <v>222</v>
      </c>
      <c r="F30" s="4">
        <f>ROUND(Source!AO26,O30)</f>
        <v>0</v>
      </c>
      <c r="G30" s="4" t="s">
        <v>28</v>
      </c>
      <c r="H30" s="4" t="s">
        <v>29</v>
      </c>
      <c r="I30" s="4"/>
      <c r="J30" s="4"/>
      <c r="K30" s="4">
        <v>222</v>
      </c>
      <c r="L30" s="4">
        <v>3</v>
      </c>
      <c r="M30" s="4">
        <v>3</v>
      </c>
      <c r="N30" s="4" t="s">
        <v>3</v>
      </c>
      <c r="O30" s="4">
        <v>2</v>
      </c>
      <c r="P30" s="4"/>
      <c r="Q30" s="4"/>
      <c r="R30" s="4"/>
      <c r="S30" s="4"/>
      <c r="T30" s="4"/>
      <c r="U30" s="4"/>
      <c r="V30" s="4"/>
      <c r="W30" s="4"/>
    </row>
    <row r="31" spans="1:245">
      <c r="A31" s="4">
        <v>50</v>
      </c>
      <c r="B31" s="4">
        <v>0</v>
      </c>
      <c r="C31" s="4">
        <v>0</v>
      </c>
      <c r="D31" s="4">
        <v>1</v>
      </c>
      <c r="E31" s="4">
        <v>225</v>
      </c>
      <c r="F31" s="4">
        <f>ROUND(Source!AV26,O31)</f>
        <v>0</v>
      </c>
      <c r="G31" s="4" t="s">
        <v>30</v>
      </c>
      <c r="H31" s="4" t="s">
        <v>31</v>
      </c>
      <c r="I31" s="4"/>
      <c r="J31" s="4"/>
      <c r="K31" s="4">
        <v>225</v>
      </c>
      <c r="L31" s="4">
        <v>4</v>
      </c>
      <c r="M31" s="4">
        <v>3</v>
      </c>
      <c r="N31" s="4" t="s">
        <v>3</v>
      </c>
      <c r="O31" s="4">
        <v>2</v>
      </c>
      <c r="P31" s="4"/>
      <c r="Q31" s="4"/>
      <c r="R31" s="4"/>
      <c r="S31" s="4"/>
      <c r="T31" s="4"/>
      <c r="U31" s="4"/>
      <c r="V31" s="4"/>
      <c r="W31" s="4"/>
    </row>
    <row r="32" spans="1:245">
      <c r="A32" s="4">
        <v>50</v>
      </c>
      <c r="B32" s="4">
        <v>0</v>
      </c>
      <c r="C32" s="4">
        <v>0</v>
      </c>
      <c r="D32" s="4">
        <v>1</v>
      </c>
      <c r="E32" s="4">
        <v>226</v>
      </c>
      <c r="F32" s="4">
        <f>ROUND(Source!AW26,O32)</f>
        <v>0</v>
      </c>
      <c r="G32" s="4" t="s">
        <v>32</v>
      </c>
      <c r="H32" s="4" t="s">
        <v>33</v>
      </c>
      <c r="I32" s="4"/>
      <c r="J32" s="4"/>
      <c r="K32" s="4">
        <v>226</v>
      </c>
      <c r="L32" s="4">
        <v>5</v>
      </c>
      <c r="M32" s="4">
        <v>3</v>
      </c>
      <c r="N32" s="4" t="s">
        <v>3</v>
      </c>
      <c r="O32" s="4">
        <v>2</v>
      </c>
      <c r="P32" s="4"/>
      <c r="Q32" s="4"/>
      <c r="R32" s="4"/>
      <c r="S32" s="4"/>
      <c r="T32" s="4"/>
      <c r="U32" s="4"/>
      <c r="V32" s="4"/>
      <c r="W32" s="4"/>
    </row>
    <row r="33" spans="1:23">
      <c r="A33" s="4">
        <v>50</v>
      </c>
      <c r="B33" s="4">
        <v>0</v>
      </c>
      <c r="C33" s="4">
        <v>0</v>
      </c>
      <c r="D33" s="4">
        <v>1</v>
      </c>
      <c r="E33" s="4">
        <v>227</v>
      </c>
      <c r="F33" s="4">
        <f>ROUND(Source!AX26,O33)</f>
        <v>0</v>
      </c>
      <c r="G33" s="4" t="s">
        <v>34</v>
      </c>
      <c r="H33" s="4" t="s">
        <v>35</v>
      </c>
      <c r="I33" s="4"/>
      <c r="J33" s="4"/>
      <c r="K33" s="4">
        <v>227</v>
      </c>
      <c r="L33" s="4">
        <v>6</v>
      </c>
      <c r="M33" s="4">
        <v>3</v>
      </c>
      <c r="N33" s="4" t="s">
        <v>3</v>
      </c>
      <c r="O33" s="4">
        <v>2</v>
      </c>
      <c r="P33" s="4"/>
      <c r="Q33" s="4"/>
      <c r="R33" s="4"/>
      <c r="S33" s="4"/>
      <c r="T33" s="4"/>
      <c r="U33" s="4"/>
      <c r="V33" s="4"/>
      <c r="W33" s="4"/>
    </row>
    <row r="34" spans="1:23">
      <c r="A34" s="4">
        <v>50</v>
      </c>
      <c r="B34" s="4">
        <v>0</v>
      </c>
      <c r="C34" s="4">
        <v>0</v>
      </c>
      <c r="D34" s="4">
        <v>1</v>
      </c>
      <c r="E34" s="4">
        <v>228</v>
      </c>
      <c r="F34" s="4">
        <f>ROUND(Source!AY26,O34)</f>
        <v>0</v>
      </c>
      <c r="G34" s="4" t="s">
        <v>36</v>
      </c>
      <c r="H34" s="4" t="s">
        <v>37</v>
      </c>
      <c r="I34" s="4"/>
      <c r="J34" s="4"/>
      <c r="K34" s="4">
        <v>228</v>
      </c>
      <c r="L34" s="4">
        <v>7</v>
      </c>
      <c r="M34" s="4">
        <v>3</v>
      </c>
      <c r="N34" s="4" t="s">
        <v>3</v>
      </c>
      <c r="O34" s="4">
        <v>2</v>
      </c>
      <c r="P34" s="4"/>
      <c r="Q34" s="4"/>
      <c r="R34" s="4"/>
      <c r="S34" s="4"/>
      <c r="T34" s="4"/>
      <c r="U34" s="4"/>
      <c r="V34" s="4"/>
      <c r="W34" s="4"/>
    </row>
    <row r="35" spans="1:23">
      <c r="A35" s="4">
        <v>50</v>
      </c>
      <c r="B35" s="4">
        <v>0</v>
      </c>
      <c r="C35" s="4">
        <v>0</v>
      </c>
      <c r="D35" s="4">
        <v>1</v>
      </c>
      <c r="E35" s="4">
        <v>216</v>
      </c>
      <c r="F35" s="4">
        <f>ROUND(Source!AP26,O35)</f>
        <v>0</v>
      </c>
      <c r="G35" s="4" t="s">
        <v>38</v>
      </c>
      <c r="H35" s="4" t="s">
        <v>39</v>
      </c>
      <c r="I35" s="4"/>
      <c r="J35" s="4"/>
      <c r="K35" s="4">
        <v>216</v>
      </c>
      <c r="L35" s="4">
        <v>8</v>
      </c>
      <c r="M35" s="4">
        <v>3</v>
      </c>
      <c r="N35" s="4" t="s">
        <v>3</v>
      </c>
      <c r="O35" s="4">
        <v>2</v>
      </c>
      <c r="P35" s="4"/>
      <c r="Q35" s="4"/>
      <c r="R35" s="4"/>
      <c r="S35" s="4"/>
      <c r="T35" s="4"/>
      <c r="U35" s="4"/>
      <c r="V35" s="4"/>
      <c r="W35" s="4"/>
    </row>
    <row r="36" spans="1:23">
      <c r="A36" s="4">
        <v>50</v>
      </c>
      <c r="B36" s="4">
        <v>0</v>
      </c>
      <c r="C36" s="4">
        <v>0</v>
      </c>
      <c r="D36" s="4">
        <v>1</v>
      </c>
      <c r="E36" s="4">
        <v>223</v>
      </c>
      <c r="F36" s="4">
        <f>ROUND(Source!AQ26,O36)</f>
        <v>0</v>
      </c>
      <c r="G36" s="4" t="s">
        <v>40</v>
      </c>
      <c r="H36" s="4" t="s">
        <v>41</v>
      </c>
      <c r="I36" s="4"/>
      <c r="J36" s="4"/>
      <c r="K36" s="4">
        <v>223</v>
      </c>
      <c r="L36" s="4">
        <v>9</v>
      </c>
      <c r="M36" s="4">
        <v>3</v>
      </c>
      <c r="N36" s="4" t="s">
        <v>3</v>
      </c>
      <c r="O36" s="4">
        <v>2</v>
      </c>
      <c r="P36" s="4"/>
      <c r="Q36" s="4"/>
      <c r="R36" s="4"/>
      <c r="S36" s="4"/>
      <c r="T36" s="4"/>
      <c r="U36" s="4"/>
      <c r="V36" s="4"/>
      <c r="W36" s="4"/>
    </row>
    <row r="37" spans="1:23">
      <c r="A37" s="4">
        <v>50</v>
      </c>
      <c r="B37" s="4">
        <v>0</v>
      </c>
      <c r="C37" s="4">
        <v>0</v>
      </c>
      <c r="D37" s="4">
        <v>1</v>
      </c>
      <c r="E37" s="4">
        <v>229</v>
      </c>
      <c r="F37" s="4">
        <f>ROUND(Source!AZ26,O37)</f>
        <v>0</v>
      </c>
      <c r="G37" s="4" t="s">
        <v>42</v>
      </c>
      <c r="H37" s="4" t="s">
        <v>43</v>
      </c>
      <c r="I37" s="4"/>
      <c r="J37" s="4"/>
      <c r="K37" s="4">
        <v>229</v>
      </c>
      <c r="L37" s="4">
        <v>10</v>
      </c>
      <c r="M37" s="4">
        <v>3</v>
      </c>
      <c r="N37" s="4" t="s">
        <v>3</v>
      </c>
      <c r="O37" s="4">
        <v>2</v>
      </c>
      <c r="P37" s="4"/>
      <c r="Q37" s="4"/>
      <c r="R37" s="4"/>
      <c r="S37" s="4"/>
      <c r="T37" s="4"/>
      <c r="U37" s="4"/>
      <c r="V37" s="4"/>
      <c r="W37" s="4"/>
    </row>
    <row r="38" spans="1:23">
      <c r="A38" s="4">
        <v>50</v>
      </c>
      <c r="B38" s="4">
        <v>0</v>
      </c>
      <c r="C38" s="4">
        <v>0</v>
      </c>
      <c r="D38" s="4">
        <v>1</v>
      </c>
      <c r="E38" s="4">
        <v>203</v>
      </c>
      <c r="F38" s="4">
        <f>ROUND(Source!Q26,O38)</f>
        <v>0</v>
      </c>
      <c r="G38" s="4" t="s">
        <v>44</v>
      </c>
      <c r="H38" s="4" t="s">
        <v>45</v>
      </c>
      <c r="I38" s="4"/>
      <c r="J38" s="4"/>
      <c r="K38" s="4">
        <v>203</v>
      </c>
      <c r="L38" s="4">
        <v>11</v>
      </c>
      <c r="M38" s="4">
        <v>3</v>
      </c>
      <c r="N38" s="4" t="s">
        <v>3</v>
      </c>
      <c r="O38" s="4">
        <v>2</v>
      </c>
      <c r="P38" s="4"/>
      <c r="Q38" s="4"/>
      <c r="R38" s="4"/>
      <c r="S38" s="4"/>
      <c r="T38" s="4"/>
      <c r="U38" s="4"/>
      <c r="V38" s="4"/>
      <c r="W38" s="4"/>
    </row>
    <row r="39" spans="1:23">
      <c r="A39" s="4">
        <v>50</v>
      </c>
      <c r="B39" s="4">
        <v>0</v>
      </c>
      <c r="C39" s="4">
        <v>0</v>
      </c>
      <c r="D39" s="4">
        <v>1</v>
      </c>
      <c r="E39" s="4">
        <v>231</v>
      </c>
      <c r="F39" s="4">
        <f>ROUND(Source!BB26,O39)</f>
        <v>0</v>
      </c>
      <c r="G39" s="4" t="s">
        <v>46</v>
      </c>
      <c r="H39" s="4" t="s">
        <v>47</v>
      </c>
      <c r="I39" s="4"/>
      <c r="J39" s="4"/>
      <c r="K39" s="4">
        <v>231</v>
      </c>
      <c r="L39" s="4">
        <v>12</v>
      </c>
      <c r="M39" s="4">
        <v>3</v>
      </c>
      <c r="N39" s="4" t="s">
        <v>3</v>
      </c>
      <c r="O39" s="4">
        <v>2</v>
      </c>
      <c r="P39" s="4"/>
      <c r="Q39" s="4"/>
      <c r="R39" s="4"/>
      <c r="S39" s="4"/>
      <c r="T39" s="4"/>
      <c r="U39" s="4"/>
      <c r="V39" s="4"/>
      <c r="W39" s="4"/>
    </row>
    <row r="40" spans="1:23">
      <c r="A40" s="4">
        <v>50</v>
      </c>
      <c r="B40" s="4">
        <v>0</v>
      </c>
      <c r="C40" s="4">
        <v>0</v>
      </c>
      <c r="D40" s="4">
        <v>1</v>
      </c>
      <c r="E40" s="4">
        <v>204</v>
      </c>
      <c r="F40" s="4">
        <f>ROUND(Source!R26,O40)</f>
        <v>0</v>
      </c>
      <c r="G40" s="4" t="s">
        <v>48</v>
      </c>
      <c r="H40" s="4" t="s">
        <v>49</v>
      </c>
      <c r="I40" s="4"/>
      <c r="J40" s="4"/>
      <c r="K40" s="4">
        <v>204</v>
      </c>
      <c r="L40" s="4">
        <v>13</v>
      </c>
      <c r="M40" s="4">
        <v>3</v>
      </c>
      <c r="N40" s="4" t="s">
        <v>3</v>
      </c>
      <c r="O40" s="4">
        <v>2</v>
      </c>
      <c r="P40" s="4"/>
      <c r="Q40" s="4"/>
      <c r="R40" s="4"/>
      <c r="S40" s="4"/>
      <c r="T40" s="4"/>
      <c r="U40" s="4"/>
      <c r="V40" s="4"/>
      <c r="W40" s="4"/>
    </row>
    <row r="41" spans="1:23">
      <c r="A41" s="4">
        <v>50</v>
      </c>
      <c r="B41" s="4">
        <v>1</v>
      </c>
      <c r="C41" s="4">
        <v>0</v>
      </c>
      <c r="D41" s="4">
        <v>1</v>
      </c>
      <c r="E41" s="4">
        <v>205</v>
      </c>
      <c r="F41" s="4">
        <f>ROUND(Source!S26,O41)</f>
        <v>1529.06</v>
      </c>
      <c r="G41" s="4" t="s">
        <v>50</v>
      </c>
      <c r="H41" s="4" t="s">
        <v>51</v>
      </c>
      <c r="I41" s="4"/>
      <c r="J41" s="4"/>
      <c r="K41" s="4">
        <v>205</v>
      </c>
      <c r="L41" s="4">
        <v>14</v>
      </c>
      <c r="M41" s="4">
        <v>0</v>
      </c>
      <c r="N41" s="4" t="s">
        <v>3</v>
      </c>
      <c r="O41" s="4">
        <v>2</v>
      </c>
      <c r="P41" s="4"/>
      <c r="Q41" s="4"/>
      <c r="R41" s="4"/>
      <c r="S41" s="4"/>
      <c r="T41" s="4"/>
      <c r="U41" s="4"/>
      <c r="V41" s="4"/>
      <c r="W41" s="4"/>
    </row>
    <row r="42" spans="1:23">
      <c r="A42" s="4">
        <v>50</v>
      </c>
      <c r="B42" s="4">
        <v>0</v>
      </c>
      <c r="C42" s="4">
        <v>0</v>
      </c>
      <c r="D42" s="4">
        <v>1</v>
      </c>
      <c r="E42" s="4">
        <v>232</v>
      </c>
      <c r="F42" s="4">
        <f>ROUND(Source!BC26,O42)</f>
        <v>0</v>
      </c>
      <c r="G42" s="4" t="s">
        <v>52</v>
      </c>
      <c r="H42" s="4" t="s">
        <v>53</v>
      </c>
      <c r="I42" s="4"/>
      <c r="J42" s="4"/>
      <c r="K42" s="4">
        <v>232</v>
      </c>
      <c r="L42" s="4">
        <v>15</v>
      </c>
      <c r="M42" s="4">
        <v>3</v>
      </c>
      <c r="N42" s="4" t="s">
        <v>3</v>
      </c>
      <c r="O42" s="4">
        <v>2</v>
      </c>
      <c r="P42" s="4"/>
      <c r="Q42" s="4"/>
      <c r="R42" s="4"/>
      <c r="S42" s="4"/>
      <c r="T42" s="4"/>
      <c r="U42" s="4"/>
      <c r="V42" s="4"/>
      <c r="W42" s="4"/>
    </row>
    <row r="43" spans="1:23">
      <c r="A43" s="4">
        <v>50</v>
      </c>
      <c r="B43" s="4">
        <v>0</v>
      </c>
      <c r="C43" s="4">
        <v>0</v>
      </c>
      <c r="D43" s="4">
        <v>1</v>
      </c>
      <c r="E43" s="4">
        <v>214</v>
      </c>
      <c r="F43" s="4">
        <f>ROUND(Source!AS26,O43)</f>
        <v>0</v>
      </c>
      <c r="G43" s="4" t="s">
        <v>54</v>
      </c>
      <c r="H43" s="4" t="s">
        <v>55</v>
      </c>
      <c r="I43" s="4"/>
      <c r="J43" s="4"/>
      <c r="K43" s="4">
        <v>214</v>
      </c>
      <c r="L43" s="4">
        <v>16</v>
      </c>
      <c r="M43" s="4">
        <v>3</v>
      </c>
      <c r="N43" s="4" t="s">
        <v>3</v>
      </c>
      <c r="O43" s="4">
        <v>2</v>
      </c>
      <c r="P43" s="4"/>
      <c r="Q43" s="4"/>
      <c r="R43" s="4"/>
      <c r="S43" s="4"/>
      <c r="T43" s="4"/>
      <c r="U43" s="4"/>
      <c r="V43" s="4"/>
      <c r="W43" s="4"/>
    </row>
    <row r="44" spans="1:23">
      <c r="A44" s="4">
        <v>50</v>
      </c>
      <c r="B44" s="4">
        <v>1</v>
      </c>
      <c r="C44" s="4">
        <v>0</v>
      </c>
      <c r="D44" s="4">
        <v>1</v>
      </c>
      <c r="E44" s="4">
        <v>215</v>
      </c>
      <c r="F44" s="4">
        <f>ROUND(Source!AT26,O44)</f>
        <v>3302.77</v>
      </c>
      <c r="G44" s="4" t="s">
        <v>56</v>
      </c>
      <c r="H44" s="4" t="s">
        <v>57</v>
      </c>
      <c r="I44" s="4"/>
      <c r="J44" s="4"/>
      <c r="K44" s="4">
        <v>215</v>
      </c>
      <c r="L44" s="4">
        <v>17</v>
      </c>
      <c r="M44" s="4">
        <v>0</v>
      </c>
      <c r="N44" s="4" t="s">
        <v>3</v>
      </c>
      <c r="O44" s="4">
        <v>2</v>
      </c>
      <c r="P44" s="4"/>
      <c r="Q44" s="4"/>
      <c r="R44" s="4"/>
      <c r="S44" s="4"/>
      <c r="T44" s="4"/>
      <c r="U44" s="4"/>
      <c r="V44" s="4"/>
      <c r="W44" s="4"/>
    </row>
    <row r="45" spans="1:23">
      <c r="A45" s="4">
        <v>50</v>
      </c>
      <c r="B45" s="4">
        <v>0</v>
      </c>
      <c r="C45" s="4">
        <v>0</v>
      </c>
      <c r="D45" s="4">
        <v>1</v>
      </c>
      <c r="E45" s="4">
        <v>217</v>
      </c>
      <c r="F45" s="4">
        <f>ROUND(Source!AU26,O45)</f>
        <v>0</v>
      </c>
      <c r="G45" s="4" t="s">
        <v>58</v>
      </c>
      <c r="H45" s="4" t="s">
        <v>59</v>
      </c>
      <c r="I45" s="4"/>
      <c r="J45" s="4"/>
      <c r="K45" s="4">
        <v>217</v>
      </c>
      <c r="L45" s="4">
        <v>18</v>
      </c>
      <c r="M45" s="4">
        <v>3</v>
      </c>
      <c r="N45" s="4" t="s">
        <v>3</v>
      </c>
      <c r="O45" s="4">
        <v>2</v>
      </c>
      <c r="P45" s="4"/>
      <c r="Q45" s="4"/>
      <c r="R45" s="4"/>
      <c r="S45" s="4"/>
      <c r="T45" s="4"/>
      <c r="U45" s="4"/>
      <c r="V45" s="4"/>
      <c r="W45" s="4"/>
    </row>
    <row r="46" spans="1:23">
      <c r="A46" s="4">
        <v>50</v>
      </c>
      <c r="B46" s="4">
        <v>0</v>
      </c>
      <c r="C46" s="4">
        <v>0</v>
      </c>
      <c r="D46" s="4">
        <v>1</v>
      </c>
      <c r="E46" s="4">
        <v>230</v>
      </c>
      <c r="F46" s="4">
        <f>ROUND(Source!BA26,O46)</f>
        <v>0</v>
      </c>
      <c r="G46" s="4" t="s">
        <v>60</v>
      </c>
      <c r="H46" s="4" t="s">
        <v>61</v>
      </c>
      <c r="I46" s="4"/>
      <c r="J46" s="4"/>
      <c r="K46" s="4">
        <v>230</v>
      </c>
      <c r="L46" s="4">
        <v>19</v>
      </c>
      <c r="M46" s="4">
        <v>3</v>
      </c>
      <c r="N46" s="4" t="s">
        <v>3</v>
      </c>
      <c r="O46" s="4">
        <v>2</v>
      </c>
      <c r="P46" s="4"/>
      <c r="Q46" s="4"/>
      <c r="R46" s="4"/>
      <c r="S46" s="4"/>
      <c r="T46" s="4"/>
      <c r="U46" s="4"/>
      <c r="V46" s="4"/>
      <c r="W46" s="4"/>
    </row>
    <row r="47" spans="1:23">
      <c r="A47" s="4">
        <v>50</v>
      </c>
      <c r="B47" s="4">
        <v>0</v>
      </c>
      <c r="C47" s="4">
        <v>0</v>
      </c>
      <c r="D47" s="4">
        <v>1</v>
      </c>
      <c r="E47" s="4">
        <v>206</v>
      </c>
      <c r="F47" s="4">
        <f>ROUND(Source!T26,O47)</f>
        <v>0</v>
      </c>
      <c r="G47" s="4" t="s">
        <v>62</v>
      </c>
      <c r="H47" s="4" t="s">
        <v>63</v>
      </c>
      <c r="I47" s="4"/>
      <c r="J47" s="4"/>
      <c r="K47" s="4">
        <v>206</v>
      </c>
      <c r="L47" s="4">
        <v>20</v>
      </c>
      <c r="M47" s="4">
        <v>3</v>
      </c>
      <c r="N47" s="4" t="s">
        <v>3</v>
      </c>
      <c r="O47" s="4">
        <v>2</v>
      </c>
      <c r="P47" s="4"/>
      <c r="Q47" s="4"/>
      <c r="R47" s="4"/>
      <c r="S47" s="4"/>
      <c r="T47" s="4"/>
      <c r="U47" s="4"/>
      <c r="V47" s="4"/>
      <c r="W47" s="4"/>
    </row>
    <row r="48" spans="1:23">
      <c r="A48" s="4">
        <v>50</v>
      </c>
      <c r="B48" s="4">
        <v>0</v>
      </c>
      <c r="C48" s="4">
        <v>0</v>
      </c>
      <c r="D48" s="4">
        <v>1</v>
      </c>
      <c r="E48" s="4">
        <v>207</v>
      </c>
      <c r="F48" s="4">
        <f>Source!U26</f>
        <v>4.5</v>
      </c>
      <c r="G48" s="4" t="s">
        <v>64</v>
      </c>
      <c r="H48" s="4" t="s">
        <v>65</v>
      </c>
      <c r="I48" s="4"/>
      <c r="J48" s="4"/>
      <c r="K48" s="4">
        <v>207</v>
      </c>
      <c r="L48" s="4">
        <v>21</v>
      </c>
      <c r="M48" s="4">
        <v>3</v>
      </c>
      <c r="N48" s="4" t="s">
        <v>3</v>
      </c>
      <c r="O48" s="4">
        <v>-1</v>
      </c>
      <c r="P48" s="4"/>
      <c r="Q48" s="4"/>
      <c r="R48" s="4"/>
      <c r="S48" s="4"/>
      <c r="T48" s="4"/>
      <c r="U48" s="4"/>
      <c r="V48" s="4"/>
      <c r="W48" s="4"/>
    </row>
    <row r="49" spans="1:245">
      <c r="A49" s="4">
        <v>50</v>
      </c>
      <c r="B49" s="4">
        <v>0</v>
      </c>
      <c r="C49" s="4">
        <v>0</v>
      </c>
      <c r="D49" s="4">
        <v>1</v>
      </c>
      <c r="E49" s="4">
        <v>208</v>
      </c>
      <c r="F49" s="4">
        <f>Source!V26</f>
        <v>0</v>
      </c>
      <c r="G49" s="4" t="s">
        <v>66</v>
      </c>
      <c r="H49" s="4" t="s">
        <v>67</v>
      </c>
      <c r="I49" s="4"/>
      <c r="J49" s="4"/>
      <c r="K49" s="4">
        <v>208</v>
      </c>
      <c r="L49" s="4">
        <v>22</v>
      </c>
      <c r="M49" s="4">
        <v>3</v>
      </c>
      <c r="N49" s="4" t="s">
        <v>3</v>
      </c>
      <c r="O49" s="4">
        <v>-1</v>
      </c>
      <c r="P49" s="4"/>
      <c r="Q49" s="4"/>
      <c r="R49" s="4"/>
      <c r="S49" s="4"/>
      <c r="T49" s="4"/>
      <c r="U49" s="4"/>
      <c r="V49" s="4"/>
      <c r="W49" s="4"/>
    </row>
    <row r="50" spans="1:245">
      <c r="A50" s="4">
        <v>50</v>
      </c>
      <c r="B50" s="4">
        <v>0</v>
      </c>
      <c r="C50" s="4">
        <v>0</v>
      </c>
      <c r="D50" s="4">
        <v>1</v>
      </c>
      <c r="E50" s="4">
        <v>209</v>
      </c>
      <c r="F50" s="4">
        <f>ROUND(Source!W26,O50)</f>
        <v>0</v>
      </c>
      <c r="G50" s="4" t="s">
        <v>68</v>
      </c>
      <c r="H50" s="4" t="s">
        <v>69</v>
      </c>
      <c r="I50" s="4"/>
      <c r="J50" s="4"/>
      <c r="K50" s="4">
        <v>209</v>
      </c>
      <c r="L50" s="4">
        <v>23</v>
      </c>
      <c r="M50" s="4">
        <v>3</v>
      </c>
      <c r="N50" s="4" t="s">
        <v>3</v>
      </c>
      <c r="O50" s="4">
        <v>2</v>
      </c>
      <c r="P50" s="4"/>
      <c r="Q50" s="4"/>
      <c r="R50" s="4"/>
      <c r="S50" s="4"/>
      <c r="T50" s="4"/>
      <c r="U50" s="4"/>
      <c r="V50" s="4"/>
      <c r="W50" s="4"/>
    </row>
    <row r="51" spans="1:245">
      <c r="A51" s="4">
        <v>50</v>
      </c>
      <c r="B51" s="4">
        <v>1</v>
      </c>
      <c r="C51" s="4">
        <v>0</v>
      </c>
      <c r="D51" s="4">
        <v>1</v>
      </c>
      <c r="E51" s="4">
        <v>210</v>
      </c>
      <c r="F51" s="4">
        <f>ROUND(Source!X26,O51)</f>
        <v>1039.76</v>
      </c>
      <c r="G51" s="4" t="s">
        <v>70</v>
      </c>
      <c r="H51" s="4" t="s">
        <v>71</v>
      </c>
      <c r="I51" s="4"/>
      <c r="J51" s="4"/>
      <c r="K51" s="4">
        <v>210</v>
      </c>
      <c r="L51" s="4">
        <v>24</v>
      </c>
      <c r="M51" s="4">
        <v>0</v>
      </c>
      <c r="N51" s="4" t="s">
        <v>3</v>
      </c>
      <c r="O51" s="4">
        <v>2</v>
      </c>
      <c r="P51" s="4"/>
      <c r="Q51" s="4"/>
      <c r="R51" s="4"/>
      <c r="S51" s="4"/>
      <c r="T51" s="4"/>
      <c r="U51" s="4"/>
      <c r="V51" s="4"/>
      <c r="W51" s="4"/>
    </row>
    <row r="52" spans="1:245">
      <c r="A52" s="4">
        <v>50</v>
      </c>
      <c r="B52" s="4">
        <v>1</v>
      </c>
      <c r="C52" s="4">
        <v>0</v>
      </c>
      <c r="D52" s="4">
        <v>1</v>
      </c>
      <c r="E52" s="4">
        <v>211</v>
      </c>
      <c r="F52" s="4">
        <f>ROUND(Source!Y26,O52)</f>
        <v>733.95</v>
      </c>
      <c r="G52" s="4" t="s">
        <v>72</v>
      </c>
      <c r="H52" s="4" t="s">
        <v>73</v>
      </c>
      <c r="I52" s="4"/>
      <c r="J52" s="4"/>
      <c r="K52" s="4">
        <v>211</v>
      </c>
      <c r="L52" s="4">
        <v>25</v>
      </c>
      <c r="M52" s="4">
        <v>0</v>
      </c>
      <c r="N52" s="4" t="s">
        <v>3</v>
      </c>
      <c r="O52" s="4">
        <v>2</v>
      </c>
      <c r="P52" s="4"/>
      <c r="Q52" s="4"/>
      <c r="R52" s="4"/>
      <c r="S52" s="4"/>
      <c r="T52" s="4"/>
      <c r="U52" s="4"/>
      <c r="V52" s="4"/>
      <c r="W52" s="4"/>
    </row>
    <row r="53" spans="1:245">
      <c r="A53" s="4">
        <v>50</v>
      </c>
      <c r="B53" s="4">
        <v>1</v>
      </c>
      <c r="C53" s="4">
        <v>0</v>
      </c>
      <c r="D53" s="4">
        <v>1</v>
      </c>
      <c r="E53" s="4">
        <v>224</v>
      </c>
      <c r="F53" s="4">
        <f>ROUND(Source!AR26,O53)</f>
        <v>3302.77</v>
      </c>
      <c r="G53" s="4" t="s">
        <v>74</v>
      </c>
      <c r="H53" s="4" t="s">
        <v>75</v>
      </c>
      <c r="I53" s="4"/>
      <c r="J53" s="4"/>
      <c r="K53" s="4">
        <v>224</v>
      </c>
      <c r="L53" s="4">
        <v>26</v>
      </c>
      <c r="M53" s="4">
        <v>0</v>
      </c>
      <c r="N53" s="4" t="s">
        <v>3</v>
      </c>
      <c r="O53" s="4">
        <v>2</v>
      </c>
      <c r="P53" s="4"/>
      <c r="Q53" s="4"/>
      <c r="R53" s="4"/>
      <c r="S53" s="4"/>
      <c r="T53" s="4"/>
      <c r="U53" s="4"/>
      <c r="V53" s="4"/>
      <c r="W53" s="4"/>
    </row>
    <row r="55" spans="1:245">
      <c r="A55" s="1">
        <v>3</v>
      </c>
      <c r="B55" s="1">
        <v>1</v>
      </c>
      <c r="C55" s="1"/>
      <c r="D55" s="1">
        <f>ROW(A62)</f>
        <v>62</v>
      </c>
      <c r="E55" s="1"/>
      <c r="F55" s="1" t="s">
        <v>3</v>
      </c>
      <c r="G55" s="1" t="s">
        <v>19</v>
      </c>
      <c r="H55" s="1" t="s">
        <v>3</v>
      </c>
      <c r="I55" s="1">
        <v>0</v>
      </c>
      <c r="J55" s="1" t="s">
        <v>3</v>
      </c>
      <c r="K55" s="1">
        <v>-1</v>
      </c>
      <c r="L55" s="1" t="s">
        <v>3</v>
      </c>
      <c r="M55" s="1"/>
      <c r="N55" s="1"/>
      <c r="O55" s="1"/>
      <c r="P55" s="1"/>
      <c r="Q55" s="1"/>
      <c r="R55" s="1"/>
      <c r="S55" s="1"/>
      <c r="T55" s="1"/>
      <c r="U55" s="1" t="s">
        <v>3</v>
      </c>
      <c r="V55" s="1">
        <v>0</v>
      </c>
      <c r="W55" s="1"/>
      <c r="X55" s="1"/>
      <c r="Y55" s="1"/>
      <c r="Z55" s="1"/>
      <c r="AA55" s="1"/>
      <c r="AB55" s="1" t="s">
        <v>3</v>
      </c>
      <c r="AC55" s="1" t="s">
        <v>3</v>
      </c>
      <c r="AD55" s="1" t="s">
        <v>3</v>
      </c>
      <c r="AE55" s="1" t="s">
        <v>3</v>
      </c>
      <c r="AF55" s="1" t="s">
        <v>3</v>
      </c>
      <c r="AG55" s="1" t="s">
        <v>3</v>
      </c>
      <c r="AH55" s="1"/>
      <c r="AI55" s="1"/>
      <c r="AJ55" s="1"/>
      <c r="AK55" s="1"/>
      <c r="AL55" s="1"/>
      <c r="AM55" s="1"/>
      <c r="AN55" s="1"/>
      <c r="AO55" s="1"/>
      <c r="AP55" s="1" t="s">
        <v>3</v>
      </c>
      <c r="AQ55" s="1" t="s">
        <v>3</v>
      </c>
      <c r="AR55" s="1" t="s">
        <v>3</v>
      </c>
      <c r="AS55" s="1"/>
      <c r="AT55" s="1"/>
      <c r="AU55" s="1"/>
      <c r="AV55" s="1"/>
      <c r="AW55" s="1"/>
      <c r="AX55" s="1"/>
      <c r="AY55" s="1"/>
      <c r="AZ55" s="1" t="s">
        <v>3</v>
      </c>
      <c r="BA55" s="1"/>
      <c r="BB55" s="1" t="s">
        <v>3</v>
      </c>
      <c r="BC55" s="1" t="s">
        <v>3</v>
      </c>
      <c r="BD55" s="1" t="s">
        <v>3</v>
      </c>
      <c r="BE55" s="1" t="s">
        <v>3</v>
      </c>
      <c r="BF55" s="1" t="s">
        <v>3</v>
      </c>
      <c r="BG55" s="1" t="s">
        <v>3</v>
      </c>
      <c r="BH55" s="1" t="s">
        <v>3</v>
      </c>
      <c r="BI55" s="1" t="s">
        <v>3</v>
      </c>
      <c r="BJ55" s="1" t="s">
        <v>3</v>
      </c>
      <c r="BK55" s="1" t="s">
        <v>3</v>
      </c>
      <c r="BL55" s="1" t="s">
        <v>3</v>
      </c>
      <c r="BM55" s="1" t="s">
        <v>3</v>
      </c>
      <c r="BN55" s="1" t="s">
        <v>3</v>
      </c>
      <c r="BO55" s="1" t="s">
        <v>3</v>
      </c>
      <c r="BP55" s="1" t="s">
        <v>3</v>
      </c>
      <c r="BQ55" s="1"/>
      <c r="BR55" s="1"/>
      <c r="BS55" s="1"/>
      <c r="BT55" s="1"/>
      <c r="BU55" s="1"/>
      <c r="BV55" s="1"/>
      <c r="BW55" s="1"/>
      <c r="BX55" s="1">
        <v>0</v>
      </c>
      <c r="BY55" s="1"/>
      <c r="BZ55" s="1"/>
      <c r="CA55" s="1"/>
      <c r="CB55" s="1"/>
      <c r="CC55" s="1"/>
      <c r="CD55" s="1"/>
      <c r="CE55" s="1"/>
      <c r="CF55" s="1">
        <v>0</v>
      </c>
      <c r="CG55" s="1">
        <v>0</v>
      </c>
      <c r="CH55" s="1"/>
      <c r="CI55" s="1" t="s">
        <v>3</v>
      </c>
      <c r="CJ55" s="1" t="s">
        <v>3</v>
      </c>
    </row>
    <row r="57" spans="1:245">
      <c r="A57" s="2">
        <v>52</v>
      </c>
      <c r="B57" s="2">
        <f t="shared" ref="B57:G57" si="16">B62</f>
        <v>1</v>
      </c>
      <c r="C57" s="2">
        <f t="shared" si="16"/>
        <v>3</v>
      </c>
      <c r="D57" s="2">
        <f t="shared" si="16"/>
        <v>55</v>
      </c>
      <c r="E57" s="2">
        <f t="shared" si="16"/>
        <v>0</v>
      </c>
      <c r="F57" s="2" t="str">
        <f t="shared" si="16"/>
        <v/>
      </c>
      <c r="G57" s="2" t="str">
        <f t="shared" si="16"/>
        <v>Монтажные работы</v>
      </c>
      <c r="H57" s="2"/>
      <c r="I57" s="2"/>
      <c r="J57" s="2"/>
      <c r="K57" s="2"/>
      <c r="L57" s="2"/>
      <c r="M57" s="2"/>
      <c r="N57" s="2"/>
      <c r="O57" s="2">
        <f t="shared" ref="O57:AT57" si="17">O62</f>
        <v>7431.99</v>
      </c>
      <c r="P57" s="2">
        <f t="shared" si="17"/>
        <v>392.91</v>
      </c>
      <c r="Q57" s="2">
        <f t="shared" si="17"/>
        <v>0</v>
      </c>
      <c r="R57" s="2">
        <f t="shared" si="17"/>
        <v>0</v>
      </c>
      <c r="S57" s="2">
        <f t="shared" si="17"/>
        <v>7039.08</v>
      </c>
      <c r="T57" s="2">
        <f t="shared" si="17"/>
        <v>0</v>
      </c>
      <c r="U57" s="2">
        <f t="shared" si="17"/>
        <v>19</v>
      </c>
      <c r="V57" s="2">
        <f t="shared" si="17"/>
        <v>0</v>
      </c>
      <c r="W57" s="2">
        <f t="shared" si="17"/>
        <v>0</v>
      </c>
      <c r="X57" s="2">
        <f t="shared" si="17"/>
        <v>4786.57</v>
      </c>
      <c r="Y57" s="2">
        <f t="shared" si="17"/>
        <v>3378.76</v>
      </c>
      <c r="Z57" s="2">
        <f t="shared" si="17"/>
        <v>0</v>
      </c>
      <c r="AA57" s="2">
        <f t="shared" si="17"/>
        <v>0</v>
      </c>
      <c r="AB57" s="2">
        <f t="shared" si="17"/>
        <v>7431.99</v>
      </c>
      <c r="AC57" s="2">
        <f t="shared" si="17"/>
        <v>392.91</v>
      </c>
      <c r="AD57" s="2">
        <f t="shared" si="17"/>
        <v>0</v>
      </c>
      <c r="AE57" s="2">
        <f t="shared" si="17"/>
        <v>0</v>
      </c>
      <c r="AF57" s="2">
        <f t="shared" si="17"/>
        <v>7039.08</v>
      </c>
      <c r="AG57" s="2">
        <f t="shared" si="17"/>
        <v>0</v>
      </c>
      <c r="AH57" s="2">
        <f t="shared" si="17"/>
        <v>19</v>
      </c>
      <c r="AI57" s="2">
        <f t="shared" si="17"/>
        <v>0</v>
      </c>
      <c r="AJ57" s="2">
        <f t="shared" si="17"/>
        <v>0</v>
      </c>
      <c r="AK57" s="2">
        <f t="shared" si="17"/>
        <v>4786.57</v>
      </c>
      <c r="AL57" s="2">
        <f t="shared" si="17"/>
        <v>3378.76</v>
      </c>
      <c r="AM57" s="2">
        <f t="shared" si="17"/>
        <v>0</v>
      </c>
      <c r="AN57" s="2">
        <f t="shared" si="17"/>
        <v>0</v>
      </c>
      <c r="AO57" s="2">
        <f t="shared" si="17"/>
        <v>0</v>
      </c>
      <c r="AP57" s="2">
        <f t="shared" si="17"/>
        <v>0</v>
      </c>
      <c r="AQ57" s="2">
        <f t="shared" si="17"/>
        <v>0</v>
      </c>
      <c r="AR57" s="2">
        <f t="shared" si="17"/>
        <v>15597.32</v>
      </c>
      <c r="AS57" s="2">
        <f t="shared" si="17"/>
        <v>0</v>
      </c>
      <c r="AT57" s="2">
        <f t="shared" si="17"/>
        <v>15597.32</v>
      </c>
      <c r="AU57" s="2">
        <f t="shared" ref="AU57:BZ57" si="18">AU62</f>
        <v>0</v>
      </c>
      <c r="AV57" s="2">
        <f t="shared" si="18"/>
        <v>392.91</v>
      </c>
      <c r="AW57" s="2">
        <f t="shared" si="18"/>
        <v>392.91</v>
      </c>
      <c r="AX57" s="2">
        <f t="shared" si="18"/>
        <v>0</v>
      </c>
      <c r="AY57" s="2">
        <f t="shared" si="18"/>
        <v>392.91</v>
      </c>
      <c r="AZ57" s="2">
        <f t="shared" si="18"/>
        <v>0</v>
      </c>
      <c r="BA57" s="2">
        <f t="shared" si="18"/>
        <v>0</v>
      </c>
      <c r="BB57" s="2">
        <f t="shared" si="18"/>
        <v>0</v>
      </c>
      <c r="BC57" s="2">
        <f t="shared" si="18"/>
        <v>0</v>
      </c>
      <c r="BD57" s="2">
        <f t="shared" si="18"/>
        <v>0</v>
      </c>
      <c r="BE57" s="2">
        <f t="shared" si="18"/>
        <v>0</v>
      </c>
      <c r="BF57" s="2">
        <f t="shared" si="18"/>
        <v>0</v>
      </c>
      <c r="BG57" s="2">
        <f t="shared" si="18"/>
        <v>0</v>
      </c>
      <c r="BH57" s="2">
        <f t="shared" si="18"/>
        <v>0</v>
      </c>
      <c r="BI57" s="2">
        <f t="shared" si="18"/>
        <v>0</v>
      </c>
      <c r="BJ57" s="2">
        <f t="shared" si="18"/>
        <v>0</v>
      </c>
      <c r="BK57" s="2">
        <f t="shared" si="18"/>
        <v>0</v>
      </c>
      <c r="BL57" s="2">
        <f t="shared" si="18"/>
        <v>0</v>
      </c>
      <c r="BM57" s="2">
        <f t="shared" si="18"/>
        <v>0</v>
      </c>
      <c r="BN57" s="2">
        <f t="shared" si="18"/>
        <v>0</v>
      </c>
      <c r="BO57" s="2">
        <f t="shared" si="18"/>
        <v>0</v>
      </c>
      <c r="BP57" s="2">
        <f t="shared" si="18"/>
        <v>0</v>
      </c>
      <c r="BQ57" s="2">
        <f t="shared" si="18"/>
        <v>0</v>
      </c>
      <c r="BR57" s="2">
        <f t="shared" si="18"/>
        <v>0</v>
      </c>
      <c r="BS57" s="2">
        <f t="shared" si="18"/>
        <v>0</v>
      </c>
      <c r="BT57" s="2">
        <f t="shared" si="18"/>
        <v>0</v>
      </c>
      <c r="BU57" s="2">
        <f t="shared" si="18"/>
        <v>0</v>
      </c>
      <c r="BV57" s="2">
        <f t="shared" si="18"/>
        <v>0</v>
      </c>
      <c r="BW57" s="2">
        <f t="shared" si="18"/>
        <v>0</v>
      </c>
      <c r="BX57" s="2">
        <f t="shared" si="18"/>
        <v>0</v>
      </c>
      <c r="BY57" s="2">
        <f t="shared" si="18"/>
        <v>0</v>
      </c>
      <c r="BZ57" s="2">
        <f t="shared" si="18"/>
        <v>0</v>
      </c>
      <c r="CA57" s="2">
        <f t="shared" ref="CA57:DF57" si="19">CA62</f>
        <v>15597.32</v>
      </c>
      <c r="CB57" s="2">
        <f t="shared" si="19"/>
        <v>0</v>
      </c>
      <c r="CC57" s="2">
        <f t="shared" si="19"/>
        <v>15597.32</v>
      </c>
      <c r="CD57" s="2">
        <f t="shared" si="19"/>
        <v>0</v>
      </c>
      <c r="CE57" s="2">
        <f t="shared" si="19"/>
        <v>392.91</v>
      </c>
      <c r="CF57" s="2">
        <f t="shared" si="19"/>
        <v>392.91</v>
      </c>
      <c r="CG57" s="2">
        <f t="shared" si="19"/>
        <v>0</v>
      </c>
      <c r="CH57" s="2">
        <f t="shared" si="19"/>
        <v>392.91</v>
      </c>
      <c r="CI57" s="2">
        <f t="shared" si="19"/>
        <v>0</v>
      </c>
      <c r="CJ57" s="2">
        <f t="shared" si="19"/>
        <v>0</v>
      </c>
      <c r="CK57" s="2">
        <f t="shared" si="19"/>
        <v>0</v>
      </c>
      <c r="CL57" s="2">
        <f t="shared" si="19"/>
        <v>0</v>
      </c>
      <c r="CM57" s="2">
        <f t="shared" si="19"/>
        <v>0</v>
      </c>
      <c r="CN57" s="2">
        <f t="shared" si="19"/>
        <v>0</v>
      </c>
      <c r="CO57" s="2">
        <f t="shared" si="19"/>
        <v>0</v>
      </c>
      <c r="CP57" s="2">
        <f t="shared" si="19"/>
        <v>0</v>
      </c>
      <c r="CQ57" s="2">
        <f t="shared" si="19"/>
        <v>0</v>
      </c>
      <c r="CR57" s="2">
        <f t="shared" si="19"/>
        <v>0</v>
      </c>
      <c r="CS57" s="2">
        <f t="shared" si="19"/>
        <v>0</v>
      </c>
      <c r="CT57" s="2">
        <f t="shared" si="19"/>
        <v>0</v>
      </c>
      <c r="CU57" s="2">
        <f t="shared" si="19"/>
        <v>0</v>
      </c>
      <c r="CV57" s="2">
        <f t="shared" si="19"/>
        <v>0</v>
      </c>
      <c r="CW57" s="2">
        <f t="shared" si="19"/>
        <v>0</v>
      </c>
      <c r="CX57" s="2">
        <f t="shared" si="19"/>
        <v>0</v>
      </c>
      <c r="CY57" s="2">
        <f t="shared" si="19"/>
        <v>0</v>
      </c>
      <c r="CZ57" s="2">
        <f t="shared" si="19"/>
        <v>0</v>
      </c>
      <c r="DA57" s="2">
        <f t="shared" si="19"/>
        <v>0</v>
      </c>
      <c r="DB57" s="2">
        <f t="shared" si="19"/>
        <v>0</v>
      </c>
      <c r="DC57" s="2">
        <f t="shared" si="19"/>
        <v>0</v>
      </c>
      <c r="DD57" s="2">
        <f t="shared" si="19"/>
        <v>0</v>
      </c>
      <c r="DE57" s="2">
        <f t="shared" si="19"/>
        <v>0</v>
      </c>
      <c r="DF57" s="2">
        <f t="shared" si="19"/>
        <v>0</v>
      </c>
      <c r="DG57" s="3">
        <f t="shared" ref="DG57:EL57" si="20">DG62</f>
        <v>0</v>
      </c>
      <c r="DH57" s="3">
        <f t="shared" si="20"/>
        <v>0</v>
      </c>
      <c r="DI57" s="3">
        <f t="shared" si="20"/>
        <v>0</v>
      </c>
      <c r="DJ57" s="3">
        <f t="shared" si="20"/>
        <v>0</v>
      </c>
      <c r="DK57" s="3">
        <f t="shared" si="20"/>
        <v>0</v>
      </c>
      <c r="DL57" s="3">
        <f t="shared" si="20"/>
        <v>0</v>
      </c>
      <c r="DM57" s="3">
        <f t="shared" si="20"/>
        <v>0</v>
      </c>
      <c r="DN57" s="3">
        <f t="shared" si="20"/>
        <v>0</v>
      </c>
      <c r="DO57" s="3">
        <f t="shared" si="20"/>
        <v>0</v>
      </c>
      <c r="DP57" s="3">
        <f t="shared" si="20"/>
        <v>0</v>
      </c>
      <c r="DQ57" s="3">
        <f t="shared" si="20"/>
        <v>0</v>
      </c>
      <c r="DR57" s="3">
        <f t="shared" si="20"/>
        <v>0</v>
      </c>
      <c r="DS57" s="3">
        <f t="shared" si="20"/>
        <v>0</v>
      </c>
      <c r="DT57" s="3">
        <f t="shared" si="20"/>
        <v>0</v>
      </c>
      <c r="DU57" s="3">
        <f t="shared" si="20"/>
        <v>0</v>
      </c>
      <c r="DV57" s="3">
        <f t="shared" si="20"/>
        <v>0</v>
      </c>
      <c r="DW57" s="3">
        <f t="shared" si="20"/>
        <v>0</v>
      </c>
      <c r="DX57" s="3">
        <f t="shared" si="20"/>
        <v>0</v>
      </c>
      <c r="DY57" s="3">
        <f t="shared" si="20"/>
        <v>0</v>
      </c>
      <c r="DZ57" s="3">
        <f t="shared" si="20"/>
        <v>0</v>
      </c>
      <c r="EA57" s="3">
        <f t="shared" si="20"/>
        <v>0</v>
      </c>
      <c r="EB57" s="3">
        <f t="shared" si="20"/>
        <v>0</v>
      </c>
      <c r="EC57" s="3">
        <f t="shared" si="20"/>
        <v>0</v>
      </c>
      <c r="ED57" s="3">
        <f t="shared" si="20"/>
        <v>0</v>
      </c>
      <c r="EE57" s="3">
        <f t="shared" si="20"/>
        <v>0</v>
      </c>
      <c r="EF57" s="3">
        <f t="shared" si="20"/>
        <v>0</v>
      </c>
      <c r="EG57" s="3">
        <f t="shared" si="20"/>
        <v>0</v>
      </c>
      <c r="EH57" s="3">
        <f t="shared" si="20"/>
        <v>0</v>
      </c>
      <c r="EI57" s="3">
        <f t="shared" si="20"/>
        <v>0</v>
      </c>
      <c r="EJ57" s="3">
        <f t="shared" si="20"/>
        <v>0</v>
      </c>
      <c r="EK57" s="3">
        <f t="shared" si="20"/>
        <v>0</v>
      </c>
      <c r="EL57" s="3">
        <f t="shared" si="20"/>
        <v>0</v>
      </c>
      <c r="EM57" s="3">
        <f t="shared" ref="EM57:FR57" si="21">EM62</f>
        <v>0</v>
      </c>
      <c r="EN57" s="3">
        <f t="shared" si="21"/>
        <v>0</v>
      </c>
      <c r="EO57" s="3">
        <f t="shared" si="21"/>
        <v>0</v>
      </c>
      <c r="EP57" s="3">
        <f t="shared" si="21"/>
        <v>0</v>
      </c>
      <c r="EQ57" s="3">
        <f t="shared" si="21"/>
        <v>0</v>
      </c>
      <c r="ER57" s="3">
        <f t="shared" si="21"/>
        <v>0</v>
      </c>
      <c r="ES57" s="3">
        <f t="shared" si="21"/>
        <v>0</v>
      </c>
      <c r="ET57" s="3">
        <f t="shared" si="21"/>
        <v>0</v>
      </c>
      <c r="EU57" s="3">
        <f t="shared" si="21"/>
        <v>0</v>
      </c>
      <c r="EV57" s="3">
        <f t="shared" si="21"/>
        <v>0</v>
      </c>
      <c r="EW57" s="3">
        <f t="shared" si="21"/>
        <v>0</v>
      </c>
      <c r="EX57" s="3">
        <f t="shared" si="21"/>
        <v>0</v>
      </c>
      <c r="EY57" s="3">
        <f t="shared" si="21"/>
        <v>0</v>
      </c>
      <c r="EZ57" s="3">
        <f t="shared" si="21"/>
        <v>0</v>
      </c>
      <c r="FA57" s="3">
        <f t="shared" si="21"/>
        <v>0</v>
      </c>
      <c r="FB57" s="3">
        <f t="shared" si="21"/>
        <v>0</v>
      </c>
      <c r="FC57" s="3">
        <f t="shared" si="21"/>
        <v>0</v>
      </c>
      <c r="FD57" s="3">
        <f t="shared" si="21"/>
        <v>0</v>
      </c>
      <c r="FE57" s="3">
        <f t="shared" si="21"/>
        <v>0</v>
      </c>
      <c r="FF57" s="3">
        <f t="shared" si="21"/>
        <v>0</v>
      </c>
      <c r="FG57" s="3">
        <f t="shared" si="21"/>
        <v>0</v>
      </c>
      <c r="FH57" s="3">
        <f t="shared" si="21"/>
        <v>0</v>
      </c>
      <c r="FI57" s="3">
        <f t="shared" si="21"/>
        <v>0</v>
      </c>
      <c r="FJ57" s="3">
        <f t="shared" si="21"/>
        <v>0</v>
      </c>
      <c r="FK57" s="3">
        <f t="shared" si="21"/>
        <v>0</v>
      </c>
      <c r="FL57" s="3">
        <f t="shared" si="21"/>
        <v>0</v>
      </c>
      <c r="FM57" s="3">
        <f t="shared" si="21"/>
        <v>0</v>
      </c>
      <c r="FN57" s="3">
        <f t="shared" si="21"/>
        <v>0</v>
      </c>
      <c r="FO57" s="3">
        <f t="shared" si="21"/>
        <v>0</v>
      </c>
      <c r="FP57" s="3">
        <f t="shared" si="21"/>
        <v>0</v>
      </c>
      <c r="FQ57" s="3">
        <f t="shared" si="21"/>
        <v>0</v>
      </c>
      <c r="FR57" s="3">
        <f t="shared" si="21"/>
        <v>0</v>
      </c>
      <c r="FS57" s="3">
        <f t="shared" ref="FS57:GX57" si="22">FS62</f>
        <v>0</v>
      </c>
      <c r="FT57" s="3">
        <f t="shared" si="22"/>
        <v>0</v>
      </c>
      <c r="FU57" s="3">
        <f t="shared" si="22"/>
        <v>0</v>
      </c>
      <c r="FV57" s="3">
        <f t="shared" si="22"/>
        <v>0</v>
      </c>
      <c r="FW57" s="3">
        <f t="shared" si="22"/>
        <v>0</v>
      </c>
      <c r="FX57" s="3">
        <f t="shared" si="22"/>
        <v>0</v>
      </c>
      <c r="FY57" s="3">
        <f t="shared" si="22"/>
        <v>0</v>
      </c>
      <c r="FZ57" s="3">
        <f t="shared" si="22"/>
        <v>0</v>
      </c>
      <c r="GA57" s="3">
        <f t="shared" si="22"/>
        <v>0</v>
      </c>
      <c r="GB57" s="3">
        <f t="shared" si="22"/>
        <v>0</v>
      </c>
      <c r="GC57" s="3">
        <f t="shared" si="22"/>
        <v>0</v>
      </c>
      <c r="GD57" s="3">
        <f t="shared" si="22"/>
        <v>0</v>
      </c>
      <c r="GE57" s="3">
        <f t="shared" si="22"/>
        <v>0</v>
      </c>
      <c r="GF57" s="3">
        <f t="shared" si="22"/>
        <v>0</v>
      </c>
      <c r="GG57" s="3">
        <f t="shared" si="22"/>
        <v>0</v>
      </c>
      <c r="GH57" s="3">
        <f t="shared" si="22"/>
        <v>0</v>
      </c>
      <c r="GI57" s="3">
        <f t="shared" si="22"/>
        <v>0</v>
      </c>
      <c r="GJ57" s="3">
        <f t="shared" si="22"/>
        <v>0</v>
      </c>
      <c r="GK57" s="3">
        <f t="shared" si="22"/>
        <v>0</v>
      </c>
      <c r="GL57" s="3">
        <f t="shared" si="22"/>
        <v>0</v>
      </c>
      <c r="GM57" s="3">
        <f t="shared" si="22"/>
        <v>0</v>
      </c>
      <c r="GN57" s="3">
        <f t="shared" si="22"/>
        <v>0</v>
      </c>
      <c r="GO57" s="3">
        <f t="shared" si="22"/>
        <v>0</v>
      </c>
      <c r="GP57" s="3">
        <f t="shared" si="22"/>
        <v>0</v>
      </c>
      <c r="GQ57" s="3">
        <f t="shared" si="22"/>
        <v>0</v>
      </c>
      <c r="GR57" s="3">
        <f t="shared" si="22"/>
        <v>0</v>
      </c>
      <c r="GS57" s="3">
        <f t="shared" si="22"/>
        <v>0</v>
      </c>
      <c r="GT57" s="3">
        <f t="shared" si="22"/>
        <v>0</v>
      </c>
      <c r="GU57" s="3">
        <f t="shared" si="22"/>
        <v>0</v>
      </c>
      <c r="GV57" s="3">
        <f t="shared" si="22"/>
        <v>0</v>
      </c>
      <c r="GW57" s="3">
        <f t="shared" si="22"/>
        <v>0</v>
      </c>
      <c r="GX57" s="3">
        <f t="shared" si="22"/>
        <v>0</v>
      </c>
    </row>
    <row r="59" spans="1:245">
      <c r="A59">
        <v>17</v>
      </c>
      <c r="B59">
        <v>1</v>
      </c>
      <c r="C59">
        <f>ROW(SmtRes!A18)</f>
        <v>18</v>
      </c>
      <c r="D59">
        <f>ROW(EtalonRes!A20)</f>
        <v>20</v>
      </c>
      <c r="E59" t="s">
        <v>13</v>
      </c>
      <c r="F59" t="s">
        <v>14</v>
      </c>
      <c r="G59" t="s">
        <v>221</v>
      </c>
      <c r="H59" t="s">
        <v>15</v>
      </c>
      <c r="I59">
        <v>1</v>
      </c>
      <c r="J59">
        <v>0</v>
      </c>
      <c r="O59">
        <f>ROUND(CP59,2)</f>
        <v>5489.77</v>
      </c>
      <c r="P59">
        <f>ROUND(CQ59*I59,2)</f>
        <v>392.91</v>
      </c>
      <c r="Q59">
        <f>ROUND(CR59*I59,2)</f>
        <v>0</v>
      </c>
      <c r="R59">
        <f>ROUND(CS59*I59,2)</f>
        <v>0</v>
      </c>
      <c r="S59">
        <f>ROUND(CT59*I59,2)</f>
        <v>5096.8599999999997</v>
      </c>
      <c r="T59">
        <f>ROUND(CU59*I59,2)</f>
        <v>0</v>
      </c>
      <c r="U59">
        <f>CV59*I59</f>
        <v>15</v>
      </c>
      <c r="V59">
        <f>CW59*I59</f>
        <v>0</v>
      </c>
      <c r="W59">
        <f>ROUND(CX59*I59,2)</f>
        <v>0</v>
      </c>
      <c r="X59">
        <f>ROUND(CY59,2)</f>
        <v>3465.86</v>
      </c>
      <c r="Y59">
        <f>ROUND(CZ59,2)</f>
        <v>2446.4899999999998</v>
      </c>
      <c r="AA59">
        <v>33052118</v>
      </c>
      <c r="AB59">
        <f>ROUND((AC59+AD59+AF59),6)</f>
        <v>210.59</v>
      </c>
      <c r="AC59">
        <f>ROUND((ES59),6)</f>
        <v>55.34</v>
      </c>
      <c r="AD59">
        <f>ROUND(((((ET59*1.2))-((EU59*1.2)))+AE59),6)</f>
        <v>0</v>
      </c>
      <c r="AE59">
        <f>ROUND(((EU59*1.2)),6)</f>
        <v>0</v>
      </c>
      <c r="AF59">
        <f>ROUND(((EV59)),6)</f>
        <v>155.25</v>
      </c>
      <c r="AG59">
        <f>ROUND((AP59),6)</f>
        <v>0</v>
      </c>
      <c r="AH59">
        <f>((EW59))</f>
        <v>15</v>
      </c>
      <c r="AI59">
        <f>((EX59*1.2))</f>
        <v>0</v>
      </c>
      <c r="AJ59">
        <f>(AS59)</f>
        <v>0</v>
      </c>
      <c r="AK59">
        <v>210.59</v>
      </c>
      <c r="AL59">
        <v>55.34</v>
      </c>
      <c r="AM59">
        <v>0</v>
      </c>
      <c r="AN59">
        <v>0</v>
      </c>
      <c r="AO59">
        <v>155.25</v>
      </c>
      <c r="AP59">
        <v>0</v>
      </c>
      <c r="AQ59">
        <v>15</v>
      </c>
      <c r="AR59">
        <v>0</v>
      </c>
      <c r="AS59">
        <v>0</v>
      </c>
      <c r="AT59">
        <v>68</v>
      </c>
      <c r="AU59">
        <v>48</v>
      </c>
      <c r="AV59">
        <v>1</v>
      </c>
      <c r="AW59">
        <v>1</v>
      </c>
      <c r="AZ59">
        <v>1</v>
      </c>
      <c r="BA59">
        <v>32.83</v>
      </c>
      <c r="BB59">
        <v>1</v>
      </c>
      <c r="BC59">
        <v>7.1</v>
      </c>
      <c r="BD59" t="s">
        <v>3</v>
      </c>
      <c r="BE59" t="s">
        <v>3</v>
      </c>
      <c r="BF59" t="s">
        <v>3</v>
      </c>
      <c r="BG59" t="s">
        <v>3</v>
      </c>
      <c r="BH59">
        <v>0</v>
      </c>
      <c r="BI59">
        <v>2</v>
      </c>
      <c r="BJ59" t="s">
        <v>16</v>
      </c>
      <c r="BM59">
        <v>110011</v>
      </c>
      <c r="BN59">
        <v>0</v>
      </c>
      <c r="BO59" t="s">
        <v>14</v>
      </c>
      <c r="BP59">
        <v>1</v>
      </c>
      <c r="BQ59">
        <v>3</v>
      </c>
      <c r="BR59">
        <v>0</v>
      </c>
      <c r="BS59">
        <v>32.83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80</v>
      </c>
      <c r="CA59">
        <v>60</v>
      </c>
      <c r="CE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>(P59+Q59+S59)</f>
        <v>5489.7699999999995</v>
      </c>
      <c r="CQ59">
        <f>AC59*BC59</f>
        <v>392.91399999999999</v>
      </c>
      <c r="CR59">
        <f>AD59*BB59</f>
        <v>0</v>
      </c>
      <c r="CS59">
        <f>AE59*BS59</f>
        <v>0</v>
      </c>
      <c r="CT59">
        <f>AF59*BA59</f>
        <v>5096.8575000000001</v>
      </c>
      <c r="CU59">
        <f t="shared" ref="CU59:CX60" si="23">AG59</f>
        <v>0</v>
      </c>
      <c r="CV59">
        <f t="shared" si="23"/>
        <v>15</v>
      </c>
      <c r="CW59">
        <f t="shared" si="23"/>
        <v>0</v>
      </c>
      <c r="CX59">
        <f t="shared" si="23"/>
        <v>0</v>
      </c>
      <c r="CY59">
        <f>(((S59+R59)*AT59)/100)</f>
        <v>3465.8647999999998</v>
      </c>
      <c r="CZ59">
        <f>(((S59+R59)*AU59)/100)</f>
        <v>2446.4927999999995</v>
      </c>
      <c r="DC59" t="s">
        <v>3</v>
      </c>
      <c r="DD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1013</v>
      </c>
      <c r="DV59" t="s">
        <v>15</v>
      </c>
      <c r="DW59" t="s">
        <v>15</v>
      </c>
      <c r="DX59">
        <v>1</v>
      </c>
      <c r="EE59">
        <v>32760000</v>
      </c>
      <c r="EF59">
        <v>3</v>
      </c>
      <c r="EG59" t="s">
        <v>19</v>
      </c>
      <c r="EH59">
        <v>0</v>
      </c>
      <c r="EI59" t="s">
        <v>3</v>
      </c>
      <c r="EJ59">
        <v>2</v>
      </c>
      <c r="EK59">
        <v>110011</v>
      </c>
      <c r="EL59" t="s">
        <v>20</v>
      </c>
      <c r="EM59" t="s">
        <v>21</v>
      </c>
      <c r="EO59" t="s">
        <v>3</v>
      </c>
      <c r="EQ59">
        <v>0</v>
      </c>
      <c r="ER59">
        <v>210.59</v>
      </c>
      <c r="ES59">
        <v>55.34</v>
      </c>
      <c r="ET59">
        <v>0</v>
      </c>
      <c r="EU59">
        <v>0</v>
      </c>
      <c r="EV59">
        <v>155.25</v>
      </c>
      <c r="EW59">
        <v>15</v>
      </c>
      <c r="EX59">
        <v>0</v>
      </c>
      <c r="EY59">
        <v>0</v>
      </c>
      <c r="FQ59">
        <v>0</v>
      </c>
      <c r="FR59">
        <f>ROUND(IF(AND(BH59=3,BI59=3),P59,0),2)</f>
        <v>0</v>
      </c>
      <c r="FS59">
        <v>0</v>
      </c>
      <c r="FV59" t="s">
        <v>22</v>
      </c>
      <c r="FW59" t="s">
        <v>23</v>
      </c>
      <c r="FX59">
        <v>80</v>
      </c>
      <c r="FY59">
        <v>60</v>
      </c>
      <c r="GA59" t="s">
        <v>3</v>
      </c>
      <c r="GD59">
        <v>1</v>
      </c>
      <c r="GF59">
        <v>135218797</v>
      </c>
      <c r="GG59">
        <v>2</v>
      </c>
      <c r="GH59">
        <v>1</v>
      </c>
      <c r="GI59">
        <v>2</v>
      </c>
      <c r="GJ59">
        <v>0</v>
      </c>
      <c r="GK59">
        <v>0</v>
      </c>
      <c r="GL59">
        <f>ROUND(IF(AND(BH59=3,BI59=3,FS59&lt;&gt;0),P59,0),2)</f>
        <v>0</v>
      </c>
      <c r="GM59">
        <f>ROUND(O59+X59+Y59,2)+GX59</f>
        <v>11402.12</v>
      </c>
      <c r="GN59">
        <f>IF(OR(BI59=0,BI59=1),ROUND(O59+X59+Y59,2),0)</f>
        <v>0</v>
      </c>
      <c r="GO59">
        <f>IF(BI59=2,ROUND(O59+X59+Y59,2),0)</f>
        <v>11402.12</v>
      </c>
      <c r="GP59">
        <f>IF(BI59=4,ROUND(O59+X59+Y59,2)+GX59,0)</f>
        <v>0</v>
      </c>
      <c r="GR59">
        <v>0</v>
      </c>
      <c r="GS59">
        <v>3</v>
      </c>
      <c r="GT59">
        <v>0</v>
      </c>
      <c r="GU59" t="s">
        <v>3</v>
      </c>
      <c r="GV59">
        <f>ROUND((GT59),6)</f>
        <v>0</v>
      </c>
      <c r="GW59">
        <v>1</v>
      </c>
      <c r="GX59">
        <f>ROUND(HC59*I59,2)</f>
        <v>0</v>
      </c>
      <c r="HA59">
        <v>0</v>
      </c>
      <c r="HB59">
        <v>0</v>
      </c>
      <c r="HC59">
        <f>GV59*GW59</f>
        <v>0</v>
      </c>
      <c r="IK59">
        <v>0</v>
      </c>
    </row>
    <row r="60" spans="1:245">
      <c r="A60">
        <v>17</v>
      </c>
      <c r="B60">
        <v>1</v>
      </c>
      <c r="C60">
        <f>ROW(SmtRes!A20)</f>
        <v>20</v>
      </c>
      <c r="D60">
        <f>ROW(EtalonRes!A22)</f>
        <v>22</v>
      </c>
      <c r="E60" t="s">
        <v>77</v>
      </c>
      <c r="F60" t="s">
        <v>78</v>
      </c>
      <c r="G60" s="47" t="s">
        <v>233</v>
      </c>
      <c r="H60" t="s">
        <v>79</v>
      </c>
      <c r="I60">
        <v>1</v>
      </c>
      <c r="J60">
        <v>0</v>
      </c>
      <c r="O60">
        <f>ROUND(CP60,2)</f>
        <v>1942.22</v>
      </c>
      <c r="P60">
        <f>ROUND(CQ60*I60,2)</f>
        <v>0</v>
      </c>
      <c r="Q60">
        <f>ROUND(CR60*I60,2)</f>
        <v>0</v>
      </c>
      <c r="R60">
        <f>ROUND(CS60*I60,2)</f>
        <v>0</v>
      </c>
      <c r="S60">
        <f>ROUND(CT60*I60,2)</f>
        <v>1942.22</v>
      </c>
      <c r="T60">
        <f>ROUND(CU60*I60,2)</f>
        <v>0</v>
      </c>
      <c r="U60">
        <f>CV60*I60</f>
        <v>4</v>
      </c>
      <c r="V60">
        <f>CW60*I60</f>
        <v>0</v>
      </c>
      <c r="W60">
        <f>ROUND(CX60*I60,2)</f>
        <v>0</v>
      </c>
      <c r="X60">
        <f>ROUND(CY60,2)</f>
        <v>1320.71</v>
      </c>
      <c r="Y60">
        <f>ROUND(CZ60,2)</f>
        <v>932.27</v>
      </c>
      <c r="AA60">
        <v>33052118</v>
      </c>
      <c r="AB60">
        <f>ROUND((AC60+AD60+AF60),6)</f>
        <v>59.16</v>
      </c>
      <c r="AC60">
        <f>ROUND(((ES60*0)),6)</f>
        <v>0</v>
      </c>
      <c r="AD60">
        <f>ROUND(((((ET60*1.2))-((EU60*1.2)))+AE60),6)</f>
        <v>0</v>
      </c>
      <c r="AE60">
        <f>ROUND(((EU60*1.2)),6)</f>
        <v>0</v>
      </c>
      <c r="AF60">
        <f>ROUND(((EV60)),6)</f>
        <v>59.16</v>
      </c>
      <c r="AG60">
        <f>ROUND((AP60),6)</f>
        <v>0</v>
      </c>
      <c r="AH60">
        <f>((EW60))</f>
        <v>4</v>
      </c>
      <c r="AI60">
        <f>((EX60*1.2))</f>
        <v>0</v>
      </c>
      <c r="AJ60">
        <f>(AS60)</f>
        <v>0</v>
      </c>
      <c r="AK60">
        <v>60.34</v>
      </c>
      <c r="AL60">
        <v>1.18</v>
      </c>
      <c r="AM60">
        <v>0</v>
      </c>
      <c r="AN60">
        <v>0</v>
      </c>
      <c r="AO60">
        <v>59.16</v>
      </c>
      <c r="AP60">
        <v>0</v>
      </c>
      <c r="AQ60">
        <v>4</v>
      </c>
      <c r="AR60">
        <v>0</v>
      </c>
      <c r="AS60">
        <v>0</v>
      </c>
      <c r="AT60">
        <v>68</v>
      </c>
      <c r="AU60">
        <v>48</v>
      </c>
      <c r="AV60">
        <v>1</v>
      </c>
      <c r="AW60">
        <v>1</v>
      </c>
      <c r="AZ60">
        <v>1</v>
      </c>
      <c r="BA60">
        <v>32.83</v>
      </c>
      <c r="BB60">
        <v>1</v>
      </c>
      <c r="BC60">
        <v>32.83</v>
      </c>
      <c r="BD60" t="s">
        <v>3</v>
      </c>
      <c r="BE60" t="s">
        <v>3</v>
      </c>
      <c r="BF60" t="s">
        <v>3</v>
      </c>
      <c r="BG60" t="s">
        <v>3</v>
      </c>
      <c r="BH60">
        <v>0</v>
      </c>
      <c r="BI60">
        <v>2</v>
      </c>
      <c r="BJ60" t="s">
        <v>80</v>
      </c>
      <c r="BM60">
        <v>110008</v>
      </c>
      <c r="BN60">
        <v>0</v>
      </c>
      <c r="BO60" t="s">
        <v>78</v>
      </c>
      <c r="BP60">
        <v>1</v>
      </c>
      <c r="BQ60">
        <v>3</v>
      </c>
      <c r="BR60">
        <v>0</v>
      </c>
      <c r="BS60">
        <v>32.83</v>
      </c>
      <c r="BT60">
        <v>1</v>
      </c>
      <c r="BU60">
        <v>1</v>
      </c>
      <c r="BV60">
        <v>1</v>
      </c>
      <c r="BW60">
        <v>1</v>
      </c>
      <c r="BX60">
        <v>1</v>
      </c>
      <c r="BY60" t="s">
        <v>3</v>
      </c>
      <c r="BZ60">
        <v>80</v>
      </c>
      <c r="CA60">
        <v>60</v>
      </c>
      <c r="CE60">
        <v>0</v>
      </c>
      <c r="CF60">
        <v>0</v>
      </c>
      <c r="CG60">
        <v>0</v>
      </c>
      <c r="CM60">
        <v>0</v>
      </c>
      <c r="CN60" t="s">
        <v>3</v>
      </c>
      <c r="CO60">
        <v>0</v>
      </c>
      <c r="CP60">
        <f>(P60+Q60+S60)</f>
        <v>1942.22</v>
      </c>
      <c r="CQ60">
        <f>AC60*BC60</f>
        <v>0</v>
      </c>
      <c r="CR60">
        <f>AD60*BB60</f>
        <v>0</v>
      </c>
      <c r="CS60">
        <f>AE60*BS60</f>
        <v>0</v>
      </c>
      <c r="CT60">
        <f>AF60*BA60</f>
        <v>1942.2227999999998</v>
      </c>
      <c r="CU60">
        <f t="shared" si="23"/>
        <v>0</v>
      </c>
      <c r="CV60">
        <f t="shared" si="23"/>
        <v>4</v>
      </c>
      <c r="CW60">
        <f t="shared" si="23"/>
        <v>0</v>
      </c>
      <c r="CX60">
        <f t="shared" si="23"/>
        <v>0</v>
      </c>
      <c r="CY60">
        <f>(((S60+R60)*AT60)/100)</f>
        <v>1320.7095999999999</v>
      </c>
      <c r="CZ60">
        <f>(((S60+R60)*AU60)/100)</f>
        <v>932.26559999999995</v>
      </c>
      <c r="DC60" t="s">
        <v>3</v>
      </c>
      <c r="DD60" t="s">
        <v>17</v>
      </c>
      <c r="DK60" t="s">
        <v>3</v>
      </c>
      <c r="DL60" t="s">
        <v>3</v>
      </c>
      <c r="DM60" t="s">
        <v>3</v>
      </c>
      <c r="DN60">
        <v>0</v>
      </c>
      <c r="DO60">
        <v>0</v>
      </c>
      <c r="DP60">
        <v>1</v>
      </c>
      <c r="DQ60">
        <v>1</v>
      </c>
      <c r="DU60">
        <v>1013</v>
      </c>
      <c r="DV60" t="s">
        <v>79</v>
      </c>
      <c r="DW60" t="s">
        <v>79</v>
      </c>
      <c r="DX60">
        <v>1</v>
      </c>
      <c r="EE60">
        <v>32759958</v>
      </c>
      <c r="EF60">
        <v>3</v>
      </c>
      <c r="EG60" t="s">
        <v>19</v>
      </c>
      <c r="EH60">
        <v>0</v>
      </c>
      <c r="EI60" t="s">
        <v>3</v>
      </c>
      <c r="EJ60">
        <v>2</v>
      </c>
      <c r="EK60">
        <v>110008</v>
      </c>
      <c r="EL60" t="s">
        <v>81</v>
      </c>
      <c r="EM60" t="s">
        <v>21</v>
      </c>
      <c r="EO60" t="s">
        <v>3</v>
      </c>
      <c r="EQ60">
        <v>0</v>
      </c>
      <c r="ER60">
        <v>60.34</v>
      </c>
      <c r="ES60">
        <v>1.18</v>
      </c>
      <c r="ET60">
        <v>0</v>
      </c>
      <c r="EU60">
        <v>0</v>
      </c>
      <c r="EV60">
        <v>59.16</v>
      </c>
      <c r="EW60">
        <v>4</v>
      </c>
      <c r="EX60">
        <v>0</v>
      </c>
      <c r="EY60">
        <v>0</v>
      </c>
      <c r="FQ60">
        <v>0</v>
      </c>
      <c r="FR60">
        <f>ROUND(IF(AND(BH60=3,BI60=3),P60,0),2)</f>
        <v>0</v>
      </c>
      <c r="FS60">
        <v>0</v>
      </c>
      <c r="FV60" t="s">
        <v>22</v>
      </c>
      <c r="FW60" t="s">
        <v>23</v>
      </c>
      <c r="FX60">
        <v>80</v>
      </c>
      <c r="FY60">
        <v>60</v>
      </c>
      <c r="GA60" t="s">
        <v>3</v>
      </c>
      <c r="GD60">
        <v>1</v>
      </c>
      <c r="GF60">
        <v>-284546508</v>
      </c>
      <c r="GG60">
        <v>2</v>
      </c>
      <c r="GH60">
        <v>1</v>
      </c>
      <c r="GI60">
        <v>2</v>
      </c>
      <c r="GJ60">
        <v>0</v>
      </c>
      <c r="GK60">
        <v>0</v>
      </c>
      <c r="GL60">
        <f>ROUND(IF(AND(BH60=3,BI60=3,FS60&lt;&gt;0),P60,0),2)</f>
        <v>0</v>
      </c>
      <c r="GM60">
        <f>ROUND(O60+X60+Y60,2)+GX60</f>
        <v>4195.2</v>
      </c>
      <c r="GN60">
        <f>IF(OR(BI60=0,BI60=1),ROUND(O60+X60+Y60,2),0)</f>
        <v>0</v>
      </c>
      <c r="GO60">
        <f>IF(BI60=2,ROUND(O60+X60+Y60,2),0)</f>
        <v>4195.2</v>
      </c>
      <c r="GP60">
        <f>IF(BI60=4,ROUND(O60+X60+Y60,2)+GX60,0)</f>
        <v>0</v>
      </c>
      <c r="GR60">
        <v>0</v>
      </c>
      <c r="GS60">
        <v>3</v>
      </c>
      <c r="GT60">
        <v>0</v>
      </c>
      <c r="GU60" t="s">
        <v>3</v>
      </c>
      <c r="GV60">
        <f>ROUND((GT60),6)</f>
        <v>0</v>
      </c>
      <c r="GW60">
        <v>1</v>
      </c>
      <c r="GX60">
        <f>ROUND(HC60*I60,2)</f>
        <v>0</v>
      </c>
      <c r="HA60">
        <v>0</v>
      </c>
      <c r="HB60">
        <v>0</v>
      </c>
      <c r="HC60">
        <f>GV60*GW60</f>
        <v>0</v>
      </c>
      <c r="IK60">
        <v>0</v>
      </c>
    </row>
    <row r="62" spans="1:245">
      <c r="A62" s="2">
        <v>51</v>
      </c>
      <c r="B62" s="2">
        <f>B55</f>
        <v>1</v>
      </c>
      <c r="C62" s="2">
        <f>A55</f>
        <v>3</v>
      </c>
      <c r="D62" s="2">
        <f>ROW(A55)</f>
        <v>55</v>
      </c>
      <c r="E62" s="2"/>
      <c r="F62" s="2" t="str">
        <f>IF(F55&lt;&gt;"",F55,"")</f>
        <v/>
      </c>
      <c r="G62" s="2" t="str">
        <f>IF(G55&lt;&gt;"",G55,"")</f>
        <v>Монтажные работы</v>
      </c>
      <c r="H62" s="2">
        <v>0</v>
      </c>
      <c r="I62" s="2"/>
      <c r="J62" s="2"/>
      <c r="K62" s="2"/>
      <c r="L62" s="2"/>
      <c r="M62" s="2"/>
      <c r="N62" s="2"/>
      <c r="O62" s="2">
        <f t="shared" ref="O62:T62" si="24">ROUND(AB62,2)</f>
        <v>7431.99</v>
      </c>
      <c r="P62" s="2">
        <f t="shared" si="24"/>
        <v>392.91</v>
      </c>
      <c r="Q62" s="2">
        <f t="shared" si="24"/>
        <v>0</v>
      </c>
      <c r="R62" s="2">
        <f t="shared" si="24"/>
        <v>0</v>
      </c>
      <c r="S62" s="2">
        <f t="shared" si="24"/>
        <v>7039.08</v>
      </c>
      <c r="T62" s="2">
        <f t="shared" si="24"/>
        <v>0</v>
      </c>
      <c r="U62" s="2">
        <f>AH62</f>
        <v>19</v>
      </c>
      <c r="V62" s="2">
        <f>AI62</f>
        <v>0</v>
      </c>
      <c r="W62" s="2">
        <f>ROUND(AJ62,2)</f>
        <v>0</v>
      </c>
      <c r="X62" s="2">
        <f>ROUND(AK62,2)</f>
        <v>4786.57</v>
      </c>
      <c r="Y62" s="2">
        <f>ROUND(AL62,2)</f>
        <v>3378.76</v>
      </c>
      <c r="Z62" s="2"/>
      <c r="AA62" s="2"/>
      <c r="AB62" s="2">
        <f>ROUND(SUMIF(AA59:AA60,"=33052118",O59:O60),2)</f>
        <v>7431.99</v>
      </c>
      <c r="AC62" s="2">
        <f>ROUND(SUMIF(AA59:AA60,"=33052118",P59:P60),2)</f>
        <v>392.91</v>
      </c>
      <c r="AD62" s="2">
        <f>ROUND(SUMIF(AA59:AA60,"=33052118",Q59:Q60),2)</f>
        <v>0</v>
      </c>
      <c r="AE62" s="2">
        <f>ROUND(SUMIF(AA59:AA60,"=33052118",R59:R60),2)</f>
        <v>0</v>
      </c>
      <c r="AF62" s="2">
        <f>ROUND(SUMIF(AA59:AA60,"=33052118",S59:S60),2)</f>
        <v>7039.08</v>
      </c>
      <c r="AG62" s="2">
        <f>ROUND(SUMIF(AA59:AA60,"=33052118",T59:T60),2)</f>
        <v>0</v>
      </c>
      <c r="AH62" s="2">
        <f>SUMIF(AA59:AA60,"=33052118",U59:U60)</f>
        <v>19</v>
      </c>
      <c r="AI62" s="2">
        <f>SUMIF(AA59:AA60,"=33052118",V59:V60)</f>
        <v>0</v>
      </c>
      <c r="AJ62" s="2">
        <f>ROUND(SUMIF(AA59:AA60,"=33052118",W59:W60),2)</f>
        <v>0</v>
      </c>
      <c r="AK62" s="2">
        <f>ROUND(SUMIF(AA59:AA60,"=33052118",X59:X60),2)</f>
        <v>4786.57</v>
      </c>
      <c r="AL62" s="2">
        <f>ROUND(SUMIF(AA59:AA60,"=33052118",Y59:Y60),2)</f>
        <v>3378.76</v>
      </c>
      <c r="AM62" s="2"/>
      <c r="AN62" s="2"/>
      <c r="AO62" s="2">
        <f t="shared" ref="AO62:BC62" si="25">ROUND(BX62,2)</f>
        <v>0</v>
      </c>
      <c r="AP62" s="2">
        <f t="shared" si="25"/>
        <v>0</v>
      </c>
      <c r="AQ62" s="2">
        <f t="shared" si="25"/>
        <v>0</v>
      </c>
      <c r="AR62" s="2">
        <f t="shared" si="25"/>
        <v>15597.32</v>
      </c>
      <c r="AS62" s="2">
        <f t="shared" si="25"/>
        <v>0</v>
      </c>
      <c r="AT62" s="2">
        <f t="shared" si="25"/>
        <v>15597.32</v>
      </c>
      <c r="AU62" s="2">
        <f t="shared" si="25"/>
        <v>0</v>
      </c>
      <c r="AV62" s="2">
        <f t="shared" si="25"/>
        <v>392.91</v>
      </c>
      <c r="AW62" s="2">
        <f t="shared" si="25"/>
        <v>392.91</v>
      </c>
      <c r="AX62" s="2">
        <f t="shared" si="25"/>
        <v>0</v>
      </c>
      <c r="AY62" s="2">
        <f t="shared" si="25"/>
        <v>392.91</v>
      </c>
      <c r="AZ62" s="2">
        <f t="shared" si="25"/>
        <v>0</v>
      </c>
      <c r="BA62" s="2">
        <f t="shared" si="25"/>
        <v>0</v>
      </c>
      <c r="BB62" s="2">
        <f t="shared" si="25"/>
        <v>0</v>
      </c>
      <c r="BC62" s="2">
        <f t="shared" si="25"/>
        <v>0</v>
      </c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>
        <f>ROUND(SUMIF(AA59:AA60,"=33052118",FQ59:FQ60),2)</f>
        <v>0</v>
      </c>
      <c r="BY62" s="2">
        <f>ROUND(SUMIF(AA59:AA60,"=33052118",FR59:FR60),2)</f>
        <v>0</v>
      </c>
      <c r="BZ62" s="2">
        <f>ROUND(SUMIF(AA59:AA60,"=33052118",GL59:GL60),2)</f>
        <v>0</v>
      </c>
      <c r="CA62" s="2">
        <f>ROUND(SUMIF(AA59:AA60,"=33052118",GM59:GM60),2)</f>
        <v>15597.32</v>
      </c>
      <c r="CB62" s="2">
        <f>ROUND(SUMIF(AA59:AA60,"=33052118",GN59:GN60),2)</f>
        <v>0</v>
      </c>
      <c r="CC62" s="2">
        <f>ROUND(SUMIF(AA59:AA60,"=33052118",GO59:GO60),2)</f>
        <v>15597.32</v>
      </c>
      <c r="CD62" s="2">
        <f>ROUND(SUMIF(AA59:AA60,"=33052118",GP59:GP60),2)</f>
        <v>0</v>
      </c>
      <c r="CE62" s="2">
        <f>AC62-BX62</f>
        <v>392.91</v>
      </c>
      <c r="CF62" s="2">
        <f>AC62-BY62</f>
        <v>392.91</v>
      </c>
      <c r="CG62" s="2">
        <f>BX62-BZ62</f>
        <v>0</v>
      </c>
      <c r="CH62" s="2">
        <f>AC62-BX62-BY62+BZ62</f>
        <v>392.91</v>
      </c>
      <c r="CI62" s="2">
        <f>BY62-BZ62</f>
        <v>0</v>
      </c>
      <c r="CJ62" s="2">
        <f>ROUND(SUMIF(AA59:AA60,"=33052118",GX59:GX60),2)</f>
        <v>0</v>
      </c>
      <c r="CK62" s="2">
        <f>ROUND(SUMIF(AA59:AA60,"=33052118",GY59:GY60),2)</f>
        <v>0</v>
      </c>
      <c r="CL62" s="2">
        <f>ROUND(SUMIF(AA59:AA60,"=33052118",GZ59:GZ60),2)</f>
        <v>0</v>
      </c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>
        <v>0</v>
      </c>
    </row>
    <row r="64" spans="1:245">
      <c r="A64" s="4">
        <v>50</v>
      </c>
      <c r="B64" s="4">
        <v>1</v>
      </c>
      <c r="C64" s="4">
        <v>0</v>
      </c>
      <c r="D64" s="4">
        <v>1</v>
      </c>
      <c r="E64" s="4">
        <v>201</v>
      </c>
      <c r="F64" s="4">
        <f>ROUND(Source!O62,O64)</f>
        <v>7431.99</v>
      </c>
      <c r="G64" s="4" t="s">
        <v>24</v>
      </c>
      <c r="H64" s="4" t="s">
        <v>25</v>
      </c>
      <c r="I64" s="4"/>
      <c r="J64" s="4"/>
      <c r="K64" s="4">
        <v>201</v>
      </c>
      <c r="L64" s="4">
        <v>1</v>
      </c>
      <c r="M64" s="4">
        <v>0</v>
      </c>
      <c r="N64" s="4" t="s">
        <v>3</v>
      </c>
      <c r="O64" s="4">
        <v>2</v>
      </c>
      <c r="P64" s="4"/>
      <c r="Q64" s="4"/>
      <c r="R64" s="4"/>
      <c r="S64" s="4"/>
      <c r="T64" s="4"/>
      <c r="U64" s="4"/>
      <c r="V64" s="4"/>
      <c r="W64" s="4"/>
    </row>
    <row r="65" spans="1:23">
      <c r="A65" s="4">
        <v>50</v>
      </c>
      <c r="B65" s="4">
        <v>0</v>
      </c>
      <c r="C65" s="4">
        <v>0</v>
      </c>
      <c r="D65" s="4">
        <v>1</v>
      </c>
      <c r="E65" s="4">
        <v>202</v>
      </c>
      <c r="F65" s="4">
        <f>ROUND(Source!P62,O65)</f>
        <v>392.91</v>
      </c>
      <c r="G65" s="4" t="s">
        <v>26</v>
      </c>
      <c r="H65" s="4" t="s">
        <v>27</v>
      </c>
      <c r="I65" s="4"/>
      <c r="J65" s="4"/>
      <c r="K65" s="4">
        <v>202</v>
      </c>
      <c r="L65" s="4">
        <v>2</v>
      </c>
      <c r="M65" s="4">
        <v>3</v>
      </c>
      <c r="N65" s="4" t="s">
        <v>3</v>
      </c>
      <c r="O65" s="4">
        <v>2</v>
      </c>
      <c r="P65" s="4"/>
      <c r="Q65" s="4"/>
      <c r="R65" s="4"/>
      <c r="S65" s="4"/>
      <c r="T65" s="4"/>
      <c r="U65" s="4"/>
      <c r="V65" s="4"/>
      <c r="W65" s="4"/>
    </row>
    <row r="66" spans="1:23">
      <c r="A66" s="4">
        <v>50</v>
      </c>
      <c r="B66" s="4">
        <v>0</v>
      </c>
      <c r="C66" s="4">
        <v>0</v>
      </c>
      <c r="D66" s="4">
        <v>1</v>
      </c>
      <c r="E66" s="4">
        <v>222</v>
      </c>
      <c r="F66" s="4">
        <f>ROUND(Source!AO62,O66)</f>
        <v>0</v>
      </c>
      <c r="G66" s="4" t="s">
        <v>28</v>
      </c>
      <c r="H66" s="4" t="s">
        <v>29</v>
      </c>
      <c r="I66" s="4"/>
      <c r="J66" s="4"/>
      <c r="K66" s="4">
        <v>222</v>
      </c>
      <c r="L66" s="4">
        <v>3</v>
      </c>
      <c r="M66" s="4">
        <v>3</v>
      </c>
      <c r="N66" s="4" t="s">
        <v>3</v>
      </c>
      <c r="O66" s="4">
        <v>2</v>
      </c>
      <c r="P66" s="4"/>
      <c r="Q66" s="4"/>
      <c r="R66" s="4"/>
      <c r="S66" s="4"/>
      <c r="T66" s="4"/>
      <c r="U66" s="4"/>
      <c r="V66" s="4"/>
      <c r="W66" s="4"/>
    </row>
    <row r="67" spans="1:23">
      <c r="A67" s="4">
        <v>50</v>
      </c>
      <c r="B67" s="4">
        <v>0</v>
      </c>
      <c r="C67" s="4">
        <v>0</v>
      </c>
      <c r="D67" s="4">
        <v>1</v>
      </c>
      <c r="E67" s="4">
        <v>225</v>
      </c>
      <c r="F67" s="4">
        <f>ROUND(Source!AV62,O67)</f>
        <v>392.91</v>
      </c>
      <c r="G67" s="4" t="s">
        <v>30</v>
      </c>
      <c r="H67" s="4" t="s">
        <v>31</v>
      </c>
      <c r="I67" s="4"/>
      <c r="J67" s="4"/>
      <c r="K67" s="4">
        <v>225</v>
      </c>
      <c r="L67" s="4">
        <v>4</v>
      </c>
      <c r="M67" s="4">
        <v>3</v>
      </c>
      <c r="N67" s="4" t="s">
        <v>3</v>
      </c>
      <c r="O67" s="4">
        <v>2</v>
      </c>
      <c r="P67" s="4"/>
      <c r="Q67" s="4"/>
      <c r="R67" s="4"/>
      <c r="S67" s="4"/>
      <c r="T67" s="4"/>
      <c r="U67" s="4"/>
      <c r="V67" s="4"/>
      <c r="W67" s="4"/>
    </row>
    <row r="68" spans="1:23">
      <c r="A68" s="4">
        <v>50</v>
      </c>
      <c r="B68" s="4">
        <v>0</v>
      </c>
      <c r="C68" s="4">
        <v>0</v>
      </c>
      <c r="D68" s="4">
        <v>1</v>
      </c>
      <c r="E68" s="4">
        <v>226</v>
      </c>
      <c r="F68" s="4">
        <f>ROUND(Source!AW62,O68)</f>
        <v>392.91</v>
      </c>
      <c r="G68" s="4" t="s">
        <v>32</v>
      </c>
      <c r="H68" s="4" t="s">
        <v>33</v>
      </c>
      <c r="I68" s="4"/>
      <c r="J68" s="4"/>
      <c r="K68" s="4">
        <v>226</v>
      </c>
      <c r="L68" s="4">
        <v>5</v>
      </c>
      <c r="M68" s="4">
        <v>3</v>
      </c>
      <c r="N68" s="4" t="s">
        <v>3</v>
      </c>
      <c r="O68" s="4">
        <v>2</v>
      </c>
      <c r="P68" s="4"/>
      <c r="Q68" s="4"/>
      <c r="R68" s="4"/>
      <c r="S68" s="4"/>
      <c r="T68" s="4"/>
      <c r="U68" s="4"/>
      <c r="V68" s="4"/>
      <c r="W68" s="4"/>
    </row>
    <row r="69" spans="1:23">
      <c r="A69" s="4">
        <v>50</v>
      </c>
      <c r="B69" s="4">
        <v>0</v>
      </c>
      <c r="C69" s="4">
        <v>0</v>
      </c>
      <c r="D69" s="4">
        <v>1</v>
      </c>
      <c r="E69" s="4">
        <v>227</v>
      </c>
      <c r="F69" s="4">
        <f>ROUND(Source!AX62,O69)</f>
        <v>0</v>
      </c>
      <c r="G69" s="4" t="s">
        <v>34</v>
      </c>
      <c r="H69" s="4" t="s">
        <v>35</v>
      </c>
      <c r="I69" s="4"/>
      <c r="J69" s="4"/>
      <c r="K69" s="4">
        <v>227</v>
      </c>
      <c r="L69" s="4">
        <v>6</v>
      </c>
      <c r="M69" s="4">
        <v>3</v>
      </c>
      <c r="N69" s="4" t="s">
        <v>3</v>
      </c>
      <c r="O69" s="4">
        <v>2</v>
      </c>
      <c r="P69" s="4"/>
      <c r="Q69" s="4"/>
      <c r="R69" s="4"/>
      <c r="S69" s="4"/>
      <c r="T69" s="4"/>
      <c r="U69" s="4"/>
      <c r="V69" s="4"/>
      <c r="W69" s="4"/>
    </row>
    <row r="70" spans="1:23">
      <c r="A70" s="4">
        <v>50</v>
      </c>
      <c r="B70" s="4">
        <v>0</v>
      </c>
      <c r="C70" s="4">
        <v>0</v>
      </c>
      <c r="D70" s="4">
        <v>1</v>
      </c>
      <c r="E70" s="4">
        <v>228</v>
      </c>
      <c r="F70" s="4">
        <f>ROUND(Source!AY62,O70)</f>
        <v>392.91</v>
      </c>
      <c r="G70" s="4" t="s">
        <v>36</v>
      </c>
      <c r="H70" s="4" t="s">
        <v>37</v>
      </c>
      <c r="I70" s="4"/>
      <c r="J70" s="4"/>
      <c r="K70" s="4">
        <v>228</v>
      </c>
      <c r="L70" s="4">
        <v>7</v>
      </c>
      <c r="M70" s="4">
        <v>3</v>
      </c>
      <c r="N70" s="4" t="s">
        <v>3</v>
      </c>
      <c r="O70" s="4">
        <v>2</v>
      </c>
      <c r="P70" s="4"/>
      <c r="Q70" s="4"/>
      <c r="R70" s="4"/>
      <c r="S70" s="4"/>
      <c r="T70" s="4"/>
      <c r="U70" s="4"/>
      <c r="V70" s="4"/>
      <c r="W70" s="4"/>
    </row>
    <row r="71" spans="1:23">
      <c r="A71" s="4">
        <v>50</v>
      </c>
      <c r="B71" s="4">
        <v>0</v>
      </c>
      <c r="C71" s="4">
        <v>0</v>
      </c>
      <c r="D71" s="4">
        <v>1</v>
      </c>
      <c r="E71" s="4">
        <v>216</v>
      </c>
      <c r="F71" s="4">
        <f>ROUND(Source!AP62,O71)</f>
        <v>0</v>
      </c>
      <c r="G71" s="4" t="s">
        <v>38</v>
      </c>
      <c r="H71" s="4" t="s">
        <v>39</v>
      </c>
      <c r="I71" s="4"/>
      <c r="J71" s="4"/>
      <c r="K71" s="4">
        <v>216</v>
      </c>
      <c r="L71" s="4">
        <v>8</v>
      </c>
      <c r="M71" s="4">
        <v>3</v>
      </c>
      <c r="N71" s="4" t="s">
        <v>3</v>
      </c>
      <c r="O71" s="4">
        <v>2</v>
      </c>
      <c r="P71" s="4"/>
      <c r="Q71" s="4"/>
      <c r="R71" s="4"/>
      <c r="S71" s="4"/>
      <c r="T71" s="4"/>
      <c r="U71" s="4"/>
      <c r="V71" s="4"/>
      <c r="W71" s="4"/>
    </row>
    <row r="72" spans="1:23">
      <c r="A72" s="4">
        <v>50</v>
      </c>
      <c r="B72" s="4">
        <v>0</v>
      </c>
      <c r="C72" s="4">
        <v>0</v>
      </c>
      <c r="D72" s="4">
        <v>1</v>
      </c>
      <c r="E72" s="4">
        <v>223</v>
      </c>
      <c r="F72" s="4">
        <f>ROUND(Source!AQ62,O72)</f>
        <v>0</v>
      </c>
      <c r="G72" s="4" t="s">
        <v>40</v>
      </c>
      <c r="H72" s="4" t="s">
        <v>41</v>
      </c>
      <c r="I72" s="4"/>
      <c r="J72" s="4"/>
      <c r="K72" s="4">
        <v>223</v>
      </c>
      <c r="L72" s="4">
        <v>9</v>
      </c>
      <c r="M72" s="4">
        <v>3</v>
      </c>
      <c r="N72" s="4" t="s">
        <v>3</v>
      </c>
      <c r="O72" s="4">
        <v>2</v>
      </c>
      <c r="P72" s="4"/>
      <c r="Q72" s="4"/>
      <c r="R72" s="4"/>
      <c r="S72" s="4"/>
      <c r="T72" s="4"/>
      <c r="U72" s="4"/>
      <c r="V72" s="4"/>
      <c r="W72" s="4"/>
    </row>
    <row r="73" spans="1:23">
      <c r="A73" s="4">
        <v>50</v>
      </c>
      <c r="B73" s="4">
        <v>0</v>
      </c>
      <c r="C73" s="4">
        <v>0</v>
      </c>
      <c r="D73" s="4">
        <v>1</v>
      </c>
      <c r="E73" s="4">
        <v>229</v>
      </c>
      <c r="F73" s="4">
        <f>ROUND(Source!AZ62,O73)</f>
        <v>0</v>
      </c>
      <c r="G73" s="4" t="s">
        <v>42</v>
      </c>
      <c r="H73" s="4" t="s">
        <v>43</v>
      </c>
      <c r="I73" s="4"/>
      <c r="J73" s="4"/>
      <c r="K73" s="4">
        <v>229</v>
      </c>
      <c r="L73" s="4">
        <v>10</v>
      </c>
      <c r="M73" s="4">
        <v>3</v>
      </c>
      <c r="N73" s="4" t="s">
        <v>3</v>
      </c>
      <c r="O73" s="4">
        <v>2</v>
      </c>
      <c r="P73" s="4"/>
      <c r="Q73" s="4"/>
      <c r="R73" s="4"/>
      <c r="S73" s="4"/>
      <c r="T73" s="4"/>
      <c r="U73" s="4"/>
      <c r="V73" s="4"/>
      <c r="W73" s="4"/>
    </row>
    <row r="74" spans="1:23">
      <c r="A74" s="4">
        <v>50</v>
      </c>
      <c r="B74" s="4">
        <v>0</v>
      </c>
      <c r="C74" s="4">
        <v>0</v>
      </c>
      <c r="D74" s="4">
        <v>1</v>
      </c>
      <c r="E74" s="4">
        <v>203</v>
      </c>
      <c r="F74" s="4">
        <f>ROUND(Source!Q62,O74)</f>
        <v>0</v>
      </c>
      <c r="G74" s="4" t="s">
        <v>44</v>
      </c>
      <c r="H74" s="4" t="s">
        <v>45</v>
      </c>
      <c r="I74" s="4"/>
      <c r="J74" s="4"/>
      <c r="K74" s="4">
        <v>203</v>
      </c>
      <c r="L74" s="4">
        <v>11</v>
      </c>
      <c r="M74" s="4">
        <v>3</v>
      </c>
      <c r="N74" s="4" t="s">
        <v>3</v>
      </c>
      <c r="O74" s="4">
        <v>2</v>
      </c>
      <c r="P74" s="4"/>
      <c r="Q74" s="4"/>
      <c r="R74" s="4"/>
      <c r="S74" s="4"/>
      <c r="T74" s="4"/>
      <c r="U74" s="4"/>
      <c r="V74" s="4"/>
      <c r="W74" s="4"/>
    </row>
    <row r="75" spans="1:23">
      <c r="A75" s="4">
        <v>50</v>
      </c>
      <c r="B75" s="4">
        <v>0</v>
      </c>
      <c r="C75" s="4">
        <v>0</v>
      </c>
      <c r="D75" s="4">
        <v>1</v>
      </c>
      <c r="E75" s="4">
        <v>231</v>
      </c>
      <c r="F75" s="4">
        <f>ROUND(Source!BB62,O75)</f>
        <v>0</v>
      </c>
      <c r="G75" s="4" t="s">
        <v>46</v>
      </c>
      <c r="H75" s="4" t="s">
        <v>47</v>
      </c>
      <c r="I75" s="4"/>
      <c r="J75" s="4"/>
      <c r="K75" s="4">
        <v>231</v>
      </c>
      <c r="L75" s="4">
        <v>12</v>
      </c>
      <c r="M75" s="4">
        <v>3</v>
      </c>
      <c r="N75" s="4" t="s">
        <v>3</v>
      </c>
      <c r="O75" s="4">
        <v>2</v>
      </c>
      <c r="P75" s="4"/>
      <c r="Q75" s="4"/>
      <c r="R75" s="4"/>
      <c r="S75" s="4"/>
      <c r="T75" s="4"/>
      <c r="U75" s="4"/>
      <c r="V75" s="4"/>
      <c r="W75" s="4"/>
    </row>
    <row r="76" spans="1:23">
      <c r="A76" s="4">
        <v>50</v>
      </c>
      <c r="B76" s="4">
        <v>0</v>
      </c>
      <c r="C76" s="4">
        <v>0</v>
      </c>
      <c r="D76" s="4">
        <v>1</v>
      </c>
      <c r="E76" s="4">
        <v>204</v>
      </c>
      <c r="F76" s="4">
        <f>ROUND(Source!R62,O76)</f>
        <v>0</v>
      </c>
      <c r="G76" s="4" t="s">
        <v>48</v>
      </c>
      <c r="H76" s="4" t="s">
        <v>49</v>
      </c>
      <c r="I76" s="4"/>
      <c r="J76" s="4"/>
      <c r="K76" s="4">
        <v>204</v>
      </c>
      <c r="L76" s="4">
        <v>13</v>
      </c>
      <c r="M76" s="4">
        <v>3</v>
      </c>
      <c r="N76" s="4" t="s">
        <v>3</v>
      </c>
      <c r="O76" s="4">
        <v>2</v>
      </c>
      <c r="P76" s="4"/>
      <c r="Q76" s="4"/>
      <c r="R76" s="4"/>
      <c r="S76" s="4"/>
      <c r="T76" s="4"/>
      <c r="U76" s="4"/>
      <c r="V76" s="4"/>
      <c r="W76" s="4"/>
    </row>
    <row r="77" spans="1:23">
      <c r="A77" s="4">
        <v>50</v>
      </c>
      <c r="B77" s="4">
        <v>1</v>
      </c>
      <c r="C77" s="4">
        <v>0</v>
      </c>
      <c r="D77" s="4">
        <v>1</v>
      </c>
      <c r="E77" s="4">
        <v>205</v>
      </c>
      <c r="F77" s="4">
        <f>ROUND(Source!S62,O77)</f>
        <v>7039.08</v>
      </c>
      <c r="G77" s="4" t="s">
        <v>50</v>
      </c>
      <c r="H77" s="4" t="s">
        <v>51</v>
      </c>
      <c r="I77" s="4"/>
      <c r="J77" s="4"/>
      <c r="K77" s="4">
        <v>205</v>
      </c>
      <c r="L77" s="4">
        <v>14</v>
      </c>
      <c r="M77" s="4">
        <v>0</v>
      </c>
      <c r="N77" s="4" t="s">
        <v>3</v>
      </c>
      <c r="O77" s="4">
        <v>2</v>
      </c>
      <c r="P77" s="4"/>
      <c r="Q77" s="4"/>
      <c r="R77" s="4"/>
      <c r="S77" s="4"/>
      <c r="T77" s="4"/>
      <c r="U77" s="4"/>
      <c r="V77" s="4"/>
      <c r="W77" s="4"/>
    </row>
    <row r="78" spans="1:23">
      <c r="A78" s="4">
        <v>50</v>
      </c>
      <c r="B78" s="4">
        <v>0</v>
      </c>
      <c r="C78" s="4">
        <v>0</v>
      </c>
      <c r="D78" s="4">
        <v>1</v>
      </c>
      <c r="E78" s="4">
        <v>232</v>
      </c>
      <c r="F78" s="4">
        <f>ROUND(Source!BC62,O78)</f>
        <v>0</v>
      </c>
      <c r="G78" s="4" t="s">
        <v>52</v>
      </c>
      <c r="H78" s="4" t="s">
        <v>53</v>
      </c>
      <c r="I78" s="4"/>
      <c r="J78" s="4"/>
      <c r="K78" s="4">
        <v>232</v>
      </c>
      <c r="L78" s="4">
        <v>15</v>
      </c>
      <c r="M78" s="4">
        <v>3</v>
      </c>
      <c r="N78" s="4" t="s">
        <v>3</v>
      </c>
      <c r="O78" s="4">
        <v>2</v>
      </c>
      <c r="P78" s="4"/>
      <c r="Q78" s="4"/>
      <c r="R78" s="4"/>
      <c r="S78" s="4"/>
      <c r="T78" s="4"/>
      <c r="U78" s="4"/>
      <c r="V78" s="4"/>
      <c r="W78" s="4"/>
    </row>
    <row r="79" spans="1:23">
      <c r="A79" s="4">
        <v>50</v>
      </c>
      <c r="B79" s="4">
        <v>0</v>
      </c>
      <c r="C79" s="4">
        <v>0</v>
      </c>
      <c r="D79" s="4">
        <v>1</v>
      </c>
      <c r="E79" s="4">
        <v>214</v>
      </c>
      <c r="F79" s="4">
        <f>ROUND(Source!AS62,O79)</f>
        <v>0</v>
      </c>
      <c r="G79" s="4" t="s">
        <v>54</v>
      </c>
      <c r="H79" s="4" t="s">
        <v>55</v>
      </c>
      <c r="I79" s="4"/>
      <c r="J79" s="4"/>
      <c r="K79" s="4">
        <v>214</v>
      </c>
      <c r="L79" s="4">
        <v>16</v>
      </c>
      <c r="M79" s="4">
        <v>3</v>
      </c>
      <c r="N79" s="4" t="s">
        <v>3</v>
      </c>
      <c r="O79" s="4">
        <v>2</v>
      </c>
      <c r="P79" s="4"/>
      <c r="Q79" s="4"/>
      <c r="R79" s="4"/>
      <c r="S79" s="4"/>
      <c r="T79" s="4"/>
      <c r="U79" s="4"/>
      <c r="V79" s="4"/>
      <c r="W79" s="4"/>
    </row>
    <row r="80" spans="1:23">
      <c r="A80" s="4">
        <v>50</v>
      </c>
      <c r="B80" s="4">
        <v>0</v>
      </c>
      <c r="C80" s="4">
        <v>0</v>
      </c>
      <c r="D80" s="4">
        <v>1</v>
      </c>
      <c r="E80" s="4">
        <v>215</v>
      </c>
      <c r="F80" s="4">
        <f>ROUND(Source!AT62,O80)</f>
        <v>15597.32</v>
      </c>
      <c r="G80" s="4" t="s">
        <v>56</v>
      </c>
      <c r="H80" s="4" t="s">
        <v>57</v>
      </c>
      <c r="I80" s="4"/>
      <c r="J80" s="4"/>
      <c r="K80" s="4">
        <v>215</v>
      </c>
      <c r="L80" s="4">
        <v>17</v>
      </c>
      <c r="M80" s="4">
        <v>3</v>
      </c>
      <c r="N80" s="4" t="s">
        <v>3</v>
      </c>
      <c r="O80" s="4">
        <v>2</v>
      </c>
      <c r="P80" s="4"/>
      <c r="Q80" s="4"/>
      <c r="R80" s="4"/>
      <c r="S80" s="4"/>
      <c r="T80" s="4"/>
      <c r="U80" s="4"/>
      <c r="V80" s="4"/>
      <c r="W80" s="4"/>
    </row>
    <row r="81" spans="1:206">
      <c r="A81" s="4">
        <v>50</v>
      </c>
      <c r="B81" s="4">
        <v>0</v>
      </c>
      <c r="C81" s="4">
        <v>0</v>
      </c>
      <c r="D81" s="4">
        <v>1</v>
      </c>
      <c r="E81" s="4">
        <v>217</v>
      </c>
      <c r="F81" s="4">
        <f>ROUND(Source!AU62,O81)</f>
        <v>0</v>
      </c>
      <c r="G81" s="4" t="s">
        <v>58</v>
      </c>
      <c r="H81" s="4" t="s">
        <v>59</v>
      </c>
      <c r="I81" s="4"/>
      <c r="J81" s="4"/>
      <c r="K81" s="4">
        <v>217</v>
      </c>
      <c r="L81" s="4">
        <v>18</v>
      </c>
      <c r="M81" s="4">
        <v>3</v>
      </c>
      <c r="N81" s="4" t="s">
        <v>3</v>
      </c>
      <c r="O81" s="4">
        <v>2</v>
      </c>
      <c r="P81" s="4"/>
      <c r="Q81" s="4"/>
      <c r="R81" s="4"/>
      <c r="S81" s="4"/>
      <c r="T81" s="4"/>
      <c r="U81" s="4"/>
      <c r="V81" s="4"/>
      <c r="W81" s="4"/>
    </row>
    <row r="82" spans="1:206">
      <c r="A82" s="4">
        <v>50</v>
      </c>
      <c r="B82" s="4">
        <v>0</v>
      </c>
      <c r="C82" s="4">
        <v>0</v>
      </c>
      <c r="D82" s="4">
        <v>1</v>
      </c>
      <c r="E82" s="4">
        <v>230</v>
      </c>
      <c r="F82" s="4">
        <f>ROUND(Source!BA62,O82)</f>
        <v>0</v>
      </c>
      <c r="G82" s="4" t="s">
        <v>60</v>
      </c>
      <c r="H82" s="4" t="s">
        <v>61</v>
      </c>
      <c r="I82" s="4"/>
      <c r="J82" s="4"/>
      <c r="K82" s="4">
        <v>230</v>
      </c>
      <c r="L82" s="4">
        <v>19</v>
      </c>
      <c r="M82" s="4">
        <v>3</v>
      </c>
      <c r="N82" s="4" t="s">
        <v>3</v>
      </c>
      <c r="O82" s="4">
        <v>2</v>
      </c>
      <c r="P82" s="4"/>
      <c r="Q82" s="4"/>
      <c r="R82" s="4"/>
      <c r="S82" s="4"/>
      <c r="T82" s="4"/>
      <c r="U82" s="4"/>
      <c r="V82" s="4"/>
      <c r="W82" s="4"/>
    </row>
    <row r="83" spans="1:206">
      <c r="A83" s="4">
        <v>50</v>
      </c>
      <c r="B83" s="4">
        <v>0</v>
      </c>
      <c r="C83" s="4">
        <v>0</v>
      </c>
      <c r="D83" s="4">
        <v>1</v>
      </c>
      <c r="E83" s="4">
        <v>206</v>
      </c>
      <c r="F83" s="4">
        <f>ROUND(Source!T62,O83)</f>
        <v>0</v>
      </c>
      <c r="G83" s="4" t="s">
        <v>62</v>
      </c>
      <c r="H83" s="4" t="s">
        <v>63</v>
      </c>
      <c r="I83" s="4"/>
      <c r="J83" s="4"/>
      <c r="K83" s="4">
        <v>206</v>
      </c>
      <c r="L83" s="4">
        <v>20</v>
      </c>
      <c r="M83" s="4">
        <v>3</v>
      </c>
      <c r="N83" s="4" t="s">
        <v>3</v>
      </c>
      <c r="O83" s="4">
        <v>2</v>
      </c>
      <c r="P83" s="4"/>
      <c r="Q83" s="4"/>
      <c r="R83" s="4"/>
      <c r="S83" s="4"/>
      <c r="T83" s="4"/>
      <c r="U83" s="4"/>
      <c r="V83" s="4"/>
      <c r="W83" s="4"/>
    </row>
    <row r="84" spans="1:206">
      <c r="A84" s="4">
        <v>50</v>
      </c>
      <c r="B84" s="4">
        <v>0</v>
      </c>
      <c r="C84" s="4">
        <v>0</v>
      </c>
      <c r="D84" s="4">
        <v>1</v>
      </c>
      <c r="E84" s="4">
        <v>207</v>
      </c>
      <c r="F84" s="4">
        <f>Source!U62</f>
        <v>19</v>
      </c>
      <c r="G84" s="4" t="s">
        <v>64</v>
      </c>
      <c r="H84" s="4" t="s">
        <v>65</v>
      </c>
      <c r="I84" s="4"/>
      <c r="J84" s="4"/>
      <c r="K84" s="4">
        <v>207</v>
      </c>
      <c r="L84" s="4">
        <v>21</v>
      </c>
      <c r="M84" s="4">
        <v>3</v>
      </c>
      <c r="N84" s="4" t="s">
        <v>3</v>
      </c>
      <c r="O84" s="4">
        <v>-1</v>
      </c>
      <c r="P84" s="4"/>
      <c r="Q84" s="4"/>
      <c r="R84" s="4"/>
      <c r="S84" s="4"/>
      <c r="T84" s="4"/>
      <c r="U84" s="4"/>
      <c r="V84" s="4"/>
      <c r="W84" s="4"/>
    </row>
    <row r="85" spans="1:206">
      <c r="A85" s="4">
        <v>50</v>
      </c>
      <c r="B85" s="4">
        <v>0</v>
      </c>
      <c r="C85" s="4">
        <v>0</v>
      </c>
      <c r="D85" s="4">
        <v>1</v>
      </c>
      <c r="E85" s="4">
        <v>208</v>
      </c>
      <c r="F85" s="4">
        <f>Source!V62</f>
        <v>0</v>
      </c>
      <c r="G85" s="4" t="s">
        <v>66</v>
      </c>
      <c r="H85" s="4" t="s">
        <v>67</v>
      </c>
      <c r="I85" s="4"/>
      <c r="J85" s="4"/>
      <c r="K85" s="4">
        <v>208</v>
      </c>
      <c r="L85" s="4">
        <v>22</v>
      </c>
      <c r="M85" s="4">
        <v>3</v>
      </c>
      <c r="N85" s="4" t="s">
        <v>3</v>
      </c>
      <c r="O85" s="4">
        <v>-1</v>
      </c>
      <c r="P85" s="4"/>
      <c r="Q85" s="4"/>
      <c r="R85" s="4"/>
      <c r="S85" s="4"/>
      <c r="T85" s="4"/>
      <c r="U85" s="4"/>
      <c r="V85" s="4"/>
      <c r="W85" s="4"/>
    </row>
    <row r="86" spans="1:206">
      <c r="A86" s="4">
        <v>50</v>
      </c>
      <c r="B86" s="4">
        <v>0</v>
      </c>
      <c r="C86" s="4">
        <v>0</v>
      </c>
      <c r="D86" s="4">
        <v>1</v>
      </c>
      <c r="E86" s="4">
        <v>209</v>
      </c>
      <c r="F86" s="4">
        <f>ROUND(Source!W62,O86)</f>
        <v>0</v>
      </c>
      <c r="G86" s="4" t="s">
        <v>68</v>
      </c>
      <c r="H86" s="4" t="s">
        <v>69</v>
      </c>
      <c r="I86" s="4"/>
      <c r="J86" s="4"/>
      <c r="K86" s="4">
        <v>209</v>
      </c>
      <c r="L86" s="4">
        <v>23</v>
      </c>
      <c r="M86" s="4">
        <v>3</v>
      </c>
      <c r="N86" s="4" t="s">
        <v>3</v>
      </c>
      <c r="O86" s="4">
        <v>2</v>
      </c>
      <c r="P86" s="4"/>
      <c r="Q86" s="4"/>
      <c r="R86" s="4"/>
      <c r="S86" s="4"/>
      <c r="T86" s="4"/>
      <c r="U86" s="4"/>
      <c r="V86" s="4"/>
      <c r="W86" s="4"/>
    </row>
    <row r="87" spans="1:206">
      <c r="A87" s="4">
        <v>50</v>
      </c>
      <c r="B87" s="4">
        <v>1</v>
      </c>
      <c r="C87" s="4">
        <v>0</v>
      </c>
      <c r="D87" s="4">
        <v>1</v>
      </c>
      <c r="E87" s="4">
        <v>210</v>
      </c>
      <c r="F87" s="4">
        <f>ROUND(Source!X62,O87)</f>
        <v>4786.57</v>
      </c>
      <c r="G87" s="4" t="s">
        <v>70</v>
      </c>
      <c r="H87" s="4" t="s">
        <v>71</v>
      </c>
      <c r="I87" s="4"/>
      <c r="J87" s="4"/>
      <c r="K87" s="4">
        <v>210</v>
      </c>
      <c r="L87" s="4">
        <v>24</v>
      </c>
      <c r="M87" s="4">
        <v>0</v>
      </c>
      <c r="N87" s="4" t="s">
        <v>3</v>
      </c>
      <c r="O87" s="4">
        <v>2</v>
      </c>
      <c r="P87" s="4"/>
      <c r="Q87" s="4"/>
      <c r="R87" s="4"/>
      <c r="S87" s="4"/>
      <c r="T87" s="4"/>
      <c r="U87" s="4"/>
      <c r="V87" s="4"/>
      <c r="W87" s="4"/>
    </row>
    <row r="88" spans="1:206">
      <c r="A88" s="4">
        <v>50</v>
      </c>
      <c r="B88" s="4">
        <v>1</v>
      </c>
      <c r="C88" s="4">
        <v>0</v>
      </c>
      <c r="D88" s="4">
        <v>1</v>
      </c>
      <c r="E88" s="4">
        <v>211</v>
      </c>
      <c r="F88" s="4">
        <f>ROUND(Source!Y62,O88)</f>
        <v>3378.76</v>
      </c>
      <c r="G88" s="4" t="s">
        <v>72</v>
      </c>
      <c r="H88" s="4" t="s">
        <v>73</v>
      </c>
      <c r="I88" s="4"/>
      <c r="J88" s="4"/>
      <c r="K88" s="4">
        <v>211</v>
      </c>
      <c r="L88" s="4">
        <v>25</v>
      </c>
      <c r="M88" s="4">
        <v>0</v>
      </c>
      <c r="N88" s="4" t="s">
        <v>3</v>
      </c>
      <c r="O88" s="4">
        <v>2</v>
      </c>
      <c r="P88" s="4"/>
      <c r="Q88" s="4"/>
      <c r="R88" s="4"/>
      <c r="S88" s="4"/>
      <c r="T88" s="4"/>
      <c r="U88" s="4"/>
      <c r="V88" s="4"/>
      <c r="W88" s="4"/>
    </row>
    <row r="89" spans="1:206">
      <c r="A89" s="4">
        <v>50</v>
      </c>
      <c r="B89" s="4">
        <v>1</v>
      </c>
      <c r="C89" s="4">
        <v>0</v>
      </c>
      <c r="D89" s="4">
        <v>1</v>
      </c>
      <c r="E89" s="4">
        <v>224</v>
      </c>
      <c r="F89" s="4">
        <f>ROUND(Source!AR62,O89)</f>
        <v>15597.32</v>
      </c>
      <c r="G89" s="4" t="s">
        <v>74</v>
      </c>
      <c r="H89" s="4" t="s">
        <v>75</v>
      </c>
      <c r="I89" s="4"/>
      <c r="J89" s="4"/>
      <c r="K89" s="4">
        <v>224</v>
      </c>
      <c r="L89" s="4">
        <v>26</v>
      </c>
      <c r="M89" s="4">
        <v>0</v>
      </c>
      <c r="N89" s="4" t="s">
        <v>3</v>
      </c>
      <c r="O89" s="4">
        <v>2</v>
      </c>
      <c r="P89" s="4"/>
      <c r="Q89" s="4"/>
      <c r="R89" s="4"/>
      <c r="S89" s="4"/>
      <c r="T89" s="4"/>
      <c r="U89" s="4"/>
      <c r="V89" s="4"/>
      <c r="W89" s="4"/>
    </row>
    <row r="91" spans="1:206">
      <c r="A91" s="2">
        <v>51</v>
      </c>
      <c r="B91" s="2">
        <f>B12</f>
        <v>149</v>
      </c>
      <c r="C91" s="2">
        <f>A12</f>
        <v>1</v>
      </c>
      <c r="D91" s="2">
        <f>ROW(A12)</f>
        <v>12</v>
      </c>
      <c r="E91" s="2"/>
      <c r="F91" s="2" t="str">
        <f>IF(F12&lt;&gt;"",F12,"")</f>
        <v/>
      </c>
      <c r="G91" s="2" t="str">
        <f>IF(G12&lt;&gt;"",G12,"")</f>
        <v>Камеры</v>
      </c>
      <c r="H91" s="2">
        <v>0</v>
      </c>
      <c r="I91" s="2"/>
      <c r="J91" s="2"/>
      <c r="K91" s="2"/>
      <c r="L91" s="2"/>
      <c r="M91" s="2"/>
      <c r="N91" s="2"/>
      <c r="O91" s="2">
        <f t="shared" ref="O91:T91" si="26">ROUND(O26+O62,2)</f>
        <v>8961.0499999999993</v>
      </c>
      <c r="P91" s="2">
        <f t="shared" si="26"/>
        <v>392.91</v>
      </c>
      <c r="Q91" s="2">
        <f t="shared" si="26"/>
        <v>0</v>
      </c>
      <c r="R91" s="2">
        <f t="shared" si="26"/>
        <v>0</v>
      </c>
      <c r="S91" s="2">
        <f t="shared" si="26"/>
        <v>8568.14</v>
      </c>
      <c r="T91" s="2">
        <f t="shared" si="26"/>
        <v>0</v>
      </c>
      <c r="U91" s="2">
        <f>U26+U62</f>
        <v>23.5</v>
      </c>
      <c r="V91" s="2">
        <f>V26+V62</f>
        <v>0</v>
      </c>
      <c r="W91" s="2">
        <f>ROUND(W26+W62,2)</f>
        <v>0</v>
      </c>
      <c r="X91" s="2">
        <f>ROUND(X26+X62,2)</f>
        <v>5826.33</v>
      </c>
      <c r="Y91" s="2">
        <f>ROUND(Y26+Y62,2)</f>
        <v>4112.71</v>
      </c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>
        <f t="shared" ref="AO91:BC91" si="27">ROUND(AO26+AO62,2)</f>
        <v>0</v>
      </c>
      <c r="AP91" s="2">
        <f t="shared" si="27"/>
        <v>0</v>
      </c>
      <c r="AQ91" s="2">
        <f t="shared" si="27"/>
        <v>0</v>
      </c>
      <c r="AR91" s="2">
        <f t="shared" si="27"/>
        <v>18900.09</v>
      </c>
      <c r="AS91" s="2">
        <f t="shared" si="27"/>
        <v>0</v>
      </c>
      <c r="AT91" s="2">
        <f t="shared" si="27"/>
        <v>18900.09</v>
      </c>
      <c r="AU91" s="2">
        <f t="shared" si="27"/>
        <v>0</v>
      </c>
      <c r="AV91" s="2">
        <f t="shared" si="27"/>
        <v>392.91</v>
      </c>
      <c r="AW91" s="2">
        <f t="shared" si="27"/>
        <v>392.91</v>
      </c>
      <c r="AX91" s="2">
        <f t="shared" si="27"/>
        <v>0</v>
      </c>
      <c r="AY91" s="2">
        <f t="shared" si="27"/>
        <v>392.91</v>
      </c>
      <c r="AZ91" s="2">
        <f t="shared" si="27"/>
        <v>0</v>
      </c>
      <c r="BA91" s="2">
        <f t="shared" si="27"/>
        <v>0</v>
      </c>
      <c r="BB91" s="2">
        <f t="shared" si="27"/>
        <v>0</v>
      </c>
      <c r="BC91" s="2">
        <f t="shared" si="27"/>
        <v>0</v>
      </c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>
        <v>0</v>
      </c>
    </row>
    <row r="93" spans="1:206">
      <c r="A93" s="4">
        <v>50</v>
      </c>
      <c r="B93" s="4">
        <v>0</v>
      </c>
      <c r="C93" s="4">
        <v>0</v>
      </c>
      <c r="D93" s="4">
        <v>1</v>
      </c>
      <c r="E93" s="4">
        <v>201</v>
      </c>
      <c r="F93" s="4">
        <f>ROUND(Source!O91,O93)</f>
        <v>8961.0499999999993</v>
      </c>
      <c r="G93" s="4" t="s">
        <v>24</v>
      </c>
      <c r="H93" s="4" t="s">
        <v>25</v>
      </c>
      <c r="I93" s="4"/>
      <c r="J93" s="4"/>
      <c r="K93" s="4">
        <v>201</v>
      </c>
      <c r="L93" s="4">
        <v>1</v>
      </c>
      <c r="M93" s="4">
        <v>3</v>
      </c>
      <c r="N93" s="4" t="s">
        <v>3</v>
      </c>
      <c r="O93" s="4">
        <v>2</v>
      </c>
      <c r="P93" s="4"/>
      <c r="Q93" s="4"/>
      <c r="R93" s="4"/>
      <c r="S93" s="4"/>
      <c r="T93" s="4"/>
      <c r="U93" s="4"/>
      <c r="V93" s="4"/>
      <c r="W93" s="4"/>
    </row>
    <row r="94" spans="1:206">
      <c r="A94" s="4">
        <v>50</v>
      </c>
      <c r="B94" s="4">
        <v>0</v>
      </c>
      <c r="C94" s="4">
        <v>0</v>
      </c>
      <c r="D94" s="4">
        <v>1</v>
      </c>
      <c r="E94" s="4">
        <v>202</v>
      </c>
      <c r="F94" s="4">
        <f>ROUND(Source!P91,O94)</f>
        <v>392.91</v>
      </c>
      <c r="G94" s="4" t="s">
        <v>26</v>
      </c>
      <c r="H94" s="4" t="s">
        <v>27</v>
      </c>
      <c r="I94" s="4"/>
      <c r="J94" s="4"/>
      <c r="K94" s="4">
        <v>202</v>
      </c>
      <c r="L94" s="4">
        <v>2</v>
      </c>
      <c r="M94" s="4">
        <v>3</v>
      </c>
      <c r="N94" s="4" t="s">
        <v>3</v>
      </c>
      <c r="O94" s="4">
        <v>2</v>
      </c>
      <c r="P94" s="4"/>
      <c r="Q94" s="4"/>
      <c r="R94" s="4"/>
      <c r="S94" s="4"/>
      <c r="T94" s="4"/>
      <c r="U94" s="4"/>
      <c r="V94" s="4"/>
      <c r="W94" s="4"/>
    </row>
    <row r="95" spans="1:206">
      <c r="A95" s="4">
        <v>50</v>
      </c>
      <c r="B95" s="4">
        <v>0</v>
      </c>
      <c r="C95" s="4">
        <v>0</v>
      </c>
      <c r="D95" s="4">
        <v>1</v>
      </c>
      <c r="E95" s="4">
        <v>222</v>
      </c>
      <c r="F95" s="4">
        <f>ROUND(Source!AO91,O95)</f>
        <v>0</v>
      </c>
      <c r="G95" s="4" t="s">
        <v>28</v>
      </c>
      <c r="H95" s="4" t="s">
        <v>29</v>
      </c>
      <c r="I95" s="4"/>
      <c r="J95" s="4"/>
      <c r="K95" s="4">
        <v>222</v>
      </c>
      <c r="L95" s="4">
        <v>3</v>
      </c>
      <c r="M95" s="4">
        <v>3</v>
      </c>
      <c r="N95" s="4" t="s">
        <v>3</v>
      </c>
      <c r="O95" s="4">
        <v>2</v>
      </c>
      <c r="P95" s="4"/>
      <c r="Q95" s="4"/>
      <c r="R95" s="4"/>
      <c r="S95" s="4"/>
      <c r="T95" s="4"/>
      <c r="U95" s="4"/>
      <c r="V95" s="4"/>
      <c r="W95" s="4"/>
    </row>
    <row r="96" spans="1:206">
      <c r="A96" s="4">
        <v>50</v>
      </c>
      <c r="B96" s="4">
        <v>0</v>
      </c>
      <c r="C96" s="4">
        <v>0</v>
      </c>
      <c r="D96" s="4">
        <v>1</v>
      </c>
      <c r="E96" s="4">
        <v>225</v>
      </c>
      <c r="F96" s="4">
        <f>ROUND(Source!AV91,O96)</f>
        <v>392.91</v>
      </c>
      <c r="G96" s="4" t="s">
        <v>30</v>
      </c>
      <c r="H96" s="4" t="s">
        <v>31</v>
      </c>
      <c r="I96" s="4"/>
      <c r="J96" s="4"/>
      <c r="K96" s="4">
        <v>225</v>
      </c>
      <c r="L96" s="4">
        <v>4</v>
      </c>
      <c r="M96" s="4">
        <v>3</v>
      </c>
      <c r="N96" s="4" t="s">
        <v>3</v>
      </c>
      <c r="O96" s="4">
        <v>2</v>
      </c>
      <c r="P96" s="4"/>
      <c r="Q96" s="4"/>
      <c r="R96" s="4"/>
      <c r="S96" s="4"/>
      <c r="T96" s="4"/>
      <c r="U96" s="4"/>
      <c r="V96" s="4"/>
      <c r="W96" s="4"/>
    </row>
    <row r="97" spans="1:23">
      <c r="A97" s="4">
        <v>50</v>
      </c>
      <c r="B97" s="4">
        <v>0</v>
      </c>
      <c r="C97" s="4">
        <v>0</v>
      </c>
      <c r="D97" s="4">
        <v>1</v>
      </c>
      <c r="E97" s="4">
        <v>226</v>
      </c>
      <c r="F97" s="4">
        <f>ROUND(Source!AW91,O97)</f>
        <v>392.91</v>
      </c>
      <c r="G97" s="4" t="s">
        <v>32</v>
      </c>
      <c r="H97" s="4" t="s">
        <v>33</v>
      </c>
      <c r="I97" s="4"/>
      <c r="J97" s="4"/>
      <c r="K97" s="4">
        <v>226</v>
      </c>
      <c r="L97" s="4">
        <v>5</v>
      </c>
      <c r="M97" s="4">
        <v>3</v>
      </c>
      <c r="N97" s="4" t="s">
        <v>3</v>
      </c>
      <c r="O97" s="4">
        <v>2</v>
      </c>
      <c r="P97" s="4"/>
      <c r="Q97" s="4"/>
      <c r="R97" s="4"/>
      <c r="S97" s="4"/>
      <c r="T97" s="4"/>
      <c r="U97" s="4"/>
      <c r="V97" s="4"/>
      <c r="W97" s="4"/>
    </row>
    <row r="98" spans="1:23">
      <c r="A98" s="4">
        <v>50</v>
      </c>
      <c r="B98" s="4">
        <v>0</v>
      </c>
      <c r="C98" s="4">
        <v>0</v>
      </c>
      <c r="D98" s="4">
        <v>1</v>
      </c>
      <c r="E98" s="4">
        <v>227</v>
      </c>
      <c r="F98" s="4">
        <f>ROUND(Source!AX91,O98)</f>
        <v>0</v>
      </c>
      <c r="G98" s="4" t="s">
        <v>34</v>
      </c>
      <c r="H98" s="4" t="s">
        <v>35</v>
      </c>
      <c r="I98" s="4"/>
      <c r="J98" s="4"/>
      <c r="K98" s="4">
        <v>227</v>
      </c>
      <c r="L98" s="4">
        <v>6</v>
      </c>
      <c r="M98" s="4">
        <v>3</v>
      </c>
      <c r="N98" s="4" t="s">
        <v>3</v>
      </c>
      <c r="O98" s="4">
        <v>2</v>
      </c>
      <c r="P98" s="4"/>
      <c r="Q98" s="4"/>
      <c r="R98" s="4"/>
      <c r="S98" s="4"/>
      <c r="T98" s="4"/>
      <c r="U98" s="4"/>
      <c r="V98" s="4"/>
      <c r="W98" s="4"/>
    </row>
    <row r="99" spans="1:23">
      <c r="A99" s="4">
        <v>50</v>
      </c>
      <c r="B99" s="4">
        <v>0</v>
      </c>
      <c r="C99" s="4">
        <v>0</v>
      </c>
      <c r="D99" s="4">
        <v>1</v>
      </c>
      <c r="E99" s="4">
        <v>228</v>
      </c>
      <c r="F99" s="4">
        <f>ROUND(Source!AY91,O99)</f>
        <v>392.91</v>
      </c>
      <c r="G99" s="4" t="s">
        <v>36</v>
      </c>
      <c r="H99" s="4" t="s">
        <v>37</v>
      </c>
      <c r="I99" s="4"/>
      <c r="J99" s="4"/>
      <c r="K99" s="4">
        <v>228</v>
      </c>
      <c r="L99" s="4">
        <v>7</v>
      </c>
      <c r="M99" s="4">
        <v>3</v>
      </c>
      <c r="N99" s="4" t="s">
        <v>3</v>
      </c>
      <c r="O99" s="4">
        <v>2</v>
      </c>
      <c r="P99" s="4"/>
      <c r="Q99" s="4"/>
      <c r="R99" s="4"/>
      <c r="S99" s="4"/>
      <c r="T99" s="4"/>
      <c r="U99" s="4"/>
      <c r="V99" s="4"/>
      <c r="W99" s="4"/>
    </row>
    <row r="100" spans="1:23">
      <c r="A100" s="4">
        <v>50</v>
      </c>
      <c r="B100" s="4">
        <v>0</v>
      </c>
      <c r="C100" s="4">
        <v>0</v>
      </c>
      <c r="D100" s="4">
        <v>1</v>
      </c>
      <c r="E100" s="4">
        <v>216</v>
      </c>
      <c r="F100" s="4">
        <f>ROUND(Source!AP91,O100)</f>
        <v>0</v>
      </c>
      <c r="G100" s="4" t="s">
        <v>38</v>
      </c>
      <c r="H100" s="4" t="s">
        <v>39</v>
      </c>
      <c r="I100" s="4"/>
      <c r="J100" s="4"/>
      <c r="K100" s="4">
        <v>216</v>
      </c>
      <c r="L100" s="4">
        <v>8</v>
      </c>
      <c r="M100" s="4">
        <v>3</v>
      </c>
      <c r="N100" s="4" t="s">
        <v>3</v>
      </c>
      <c r="O100" s="4">
        <v>2</v>
      </c>
      <c r="P100" s="4"/>
      <c r="Q100" s="4"/>
      <c r="R100" s="4"/>
      <c r="S100" s="4"/>
      <c r="T100" s="4"/>
      <c r="U100" s="4"/>
      <c r="V100" s="4"/>
      <c r="W100" s="4"/>
    </row>
    <row r="101" spans="1:23">
      <c r="A101" s="4">
        <v>50</v>
      </c>
      <c r="B101" s="4">
        <v>0</v>
      </c>
      <c r="C101" s="4">
        <v>0</v>
      </c>
      <c r="D101" s="4">
        <v>1</v>
      </c>
      <c r="E101" s="4">
        <v>223</v>
      </c>
      <c r="F101" s="4">
        <f>ROUND(Source!AQ91,O101)</f>
        <v>0</v>
      </c>
      <c r="G101" s="4" t="s">
        <v>40</v>
      </c>
      <c r="H101" s="4" t="s">
        <v>41</v>
      </c>
      <c r="I101" s="4"/>
      <c r="J101" s="4"/>
      <c r="K101" s="4">
        <v>223</v>
      </c>
      <c r="L101" s="4">
        <v>9</v>
      </c>
      <c r="M101" s="4">
        <v>3</v>
      </c>
      <c r="N101" s="4" t="s">
        <v>3</v>
      </c>
      <c r="O101" s="4">
        <v>2</v>
      </c>
      <c r="P101" s="4"/>
      <c r="Q101" s="4"/>
      <c r="R101" s="4"/>
      <c r="S101" s="4"/>
      <c r="T101" s="4"/>
      <c r="U101" s="4"/>
      <c r="V101" s="4"/>
      <c r="W101" s="4"/>
    </row>
    <row r="102" spans="1:23">
      <c r="A102" s="4">
        <v>50</v>
      </c>
      <c r="B102" s="4">
        <v>0</v>
      </c>
      <c r="C102" s="4">
        <v>0</v>
      </c>
      <c r="D102" s="4">
        <v>1</v>
      </c>
      <c r="E102" s="4">
        <v>229</v>
      </c>
      <c r="F102" s="4">
        <f>ROUND(Source!AZ91,O102)</f>
        <v>0</v>
      </c>
      <c r="G102" s="4" t="s">
        <v>42</v>
      </c>
      <c r="H102" s="4" t="s">
        <v>43</v>
      </c>
      <c r="I102" s="4"/>
      <c r="J102" s="4"/>
      <c r="K102" s="4">
        <v>229</v>
      </c>
      <c r="L102" s="4">
        <v>10</v>
      </c>
      <c r="M102" s="4">
        <v>3</v>
      </c>
      <c r="N102" s="4" t="s">
        <v>3</v>
      </c>
      <c r="O102" s="4">
        <v>2</v>
      </c>
      <c r="P102" s="4"/>
      <c r="Q102" s="4"/>
      <c r="R102" s="4"/>
      <c r="S102" s="4"/>
      <c r="T102" s="4"/>
      <c r="U102" s="4"/>
      <c r="V102" s="4"/>
      <c r="W102" s="4"/>
    </row>
    <row r="103" spans="1:23">
      <c r="A103" s="4">
        <v>50</v>
      </c>
      <c r="B103" s="4">
        <v>0</v>
      </c>
      <c r="C103" s="4">
        <v>0</v>
      </c>
      <c r="D103" s="4">
        <v>1</v>
      </c>
      <c r="E103" s="4">
        <v>203</v>
      </c>
      <c r="F103" s="4">
        <f>ROUND(Source!Q91,O103)</f>
        <v>0</v>
      </c>
      <c r="G103" s="4" t="s">
        <v>44</v>
      </c>
      <c r="H103" s="4" t="s">
        <v>45</v>
      </c>
      <c r="I103" s="4"/>
      <c r="J103" s="4"/>
      <c r="K103" s="4">
        <v>203</v>
      </c>
      <c r="L103" s="4">
        <v>11</v>
      </c>
      <c r="M103" s="4">
        <v>3</v>
      </c>
      <c r="N103" s="4" t="s">
        <v>3</v>
      </c>
      <c r="O103" s="4">
        <v>2</v>
      </c>
      <c r="P103" s="4"/>
      <c r="Q103" s="4"/>
      <c r="R103" s="4"/>
      <c r="S103" s="4"/>
      <c r="T103" s="4"/>
      <c r="U103" s="4"/>
      <c r="V103" s="4"/>
      <c r="W103" s="4"/>
    </row>
    <row r="104" spans="1:23">
      <c r="A104" s="4">
        <v>50</v>
      </c>
      <c r="B104" s="4">
        <v>0</v>
      </c>
      <c r="C104" s="4">
        <v>0</v>
      </c>
      <c r="D104" s="4">
        <v>1</v>
      </c>
      <c r="E104" s="4">
        <v>231</v>
      </c>
      <c r="F104" s="4">
        <f>ROUND(Source!BB91,O104)</f>
        <v>0</v>
      </c>
      <c r="G104" s="4" t="s">
        <v>46</v>
      </c>
      <c r="H104" s="4" t="s">
        <v>47</v>
      </c>
      <c r="I104" s="4"/>
      <c r="J104" s="4"/>
      <c r="K104" s="4">
        <v>231</v>
      </c>
      <c r="L104" s="4">
        <v>12</v>
      </c>
      <c r="M104" s="4">
        <v>3</v>
      </c>
      <c r="N104" s="4" t="s">
        <v>3</v>
      </c>
      <c r="O104" s="4">
        <v>2</v>
      </c>
      <c r="P104" s="4"/>
      <c r="Q104" s="4"/>
      <c r="R104" s="4"/>
      <c r="S104" s="4"/>
      <c r="T104" s="4"/>
      <c r="U104" s="4"/>
      <c r="V104" s="4"/>
      <c r="W104" s="4"/>
    </row>
    <row r="105" spans="1:23">
      <c r="A105" s="4">
        <v>50</v>
      </c>
      <c r="B105" s="4">
        <v>0</v>
      </c>
      <c r="C105" s="4">
        <v>0</v>
      </c>
      <c r="D105" s="4">
        <v>1</v>
      </c>
      <c r="E105" s="4">
        <v>204</v>
      </c>
      <c r="F105" s="4">
        <f>ROUND(Source!R91,O105)</f>
        <v>0</v>
      </c>
      <c r="G105" s="4" t="s">
        <v>48</v>
      </c>
      <c r="H105" s="4" t="s">
        <v>49</v>
      </c>
      <c r="I105" s="4"/>
      <c r="J105" s="4"/>
      <c r="K105" s="4">
        <v>204</v>
      </c>
      <c r="L105" s="4">
        <v>13</v>
      </c>
      <c r="M105" s="4">
        <v>3</v>
      </c>
      <c r="N105" s="4" t="s">
        <v>3</v>
      </c>
      <c r="O105" s="4">
        <v>2</v>
      </c>
      <c r="P105" s="4"/>
      <c r="Q105" s="4"/>
      <c r="R105" s="4"/>
      <c r="S105" s="4"/>
      <c r="T105" s="4"/>
      <c r="U105" s="4"/>
      <c r="V105" s="4"/>
      <c r="W105" s="4"/>
    </row>
    <row r="106" spans="1:23">
      <c r="A106" s="4">
        <v>50</v>
      </c>
      <c r="B106" s="4">
        <v>0</v>
      </c>
      <c r="C106" s="4">
        <v>0</v>
      </c>
      <c r="D106" s="4">
        <v>1</v>
      </c>
      <c r="E106" s="4">
        <v>205</v>
      </c>
      <c r="F106" s="4">
        <f>ROUND(Source!S91,O106)</f>
        <v>8568.14</v>
      </c>
      <c r="G106" s="4" t="s">
        <v>50</v>
      </c>
      <c r="H106" s="4" t="s">
        <v>51</v>
      </c>
      <c r="I106" s="4"/>
      <c r="J106" s="4"/>
      <c r="K106" s="4">
        <v>205</v>
      </c>
      <c r="L106" s="4">
        <v>14</v>
      </c>
      <c r="M106" s="4">
        <v>3</v>
      </c>
      <c r="N106" s="4" t="s">
        <v>3</v>
      </c>
      <c r="O106" s="4">
        <v>2</v>
      </c>
      <c r="P106" s="4"/>
      <c r="Q106" s="4"/>
      <c r="R106" s="4"/>
      <c r="S106" s="4"/>
      <c r="T106" s="4"/>
      <c r="U106" s="4"/>
      <c r="V106" s="4"/>
      <c r="W106" s="4"/>
    </row>
    <row r="107" spans="1:23">
      <c r="A107" s="4">
        <v>50</v>
      </c>
      <c r="B107" s="4">
        <v>0</v>
      </c>
      <c r="C107" s="4">
        <v>0</v>
      </c>
      <c r="D107" s="4">
        <v>1</v>
      </c>
      <c r="E107" s="4">
        <v>232</v>
      </c>
      <c r="F107" s="4">
        <f>ROUND(Source!BC91,O107)</f>
        <v>0</v>
      </c>
      <c r="G107" s="4" t="s">
        <v>52</v>
      </c>
      <c r="H107" s="4" t="s">
        <v>53</v>
      </c>
      <c r="I107" s="4"/>
      <c r="J107" s="4"/>
      <c r="K107" s="4">
        <v>232</v>
      </c>
      <c r="L107" s="4">
        <v>15</v>
      </c>
      <c r="M107" s="4">
        <v>3</v>
      </c>
      <c r="N107" s="4" t="s">
        <v>3</v>
      </c>
      <c r="O107" s="4">
        <v>2</v>
      </c>
      <c r="P107" s="4"/>
      <c r="Q107" s="4"/>
      <c r="R107" s="4"/>
      <c r="S107" s="4"/>
      <c r="T107" s="4"/>
      <c r="U107" s="4"/>
      <c r="V107" s="4"/>
      <c r="W107" s="4"/>
    </row>
    <row r="108" spans="1:23">
      <c r="A108" s="4">
        <v>50</v>
      </c>
      <c r="B108" s="4">
        <v>0</v>
      </c>
      <c r="C108" s="4">
        <v>0</v>
      </c>
      <c r="D108" s="4">
        <v>1</v>
      </c>
      <c r="E108" s="4">
        <v>214</v>
      </c>
      <c r="F108" s="4">
        <f>ROUND(Source!AS91,O108)</f>
        <v>0</v>
      </c>
      <c r="G108" s="4" t="s">
        <v>54</v>
      </c>
      <c r="H108" s="4" t="s">
        <v>55</v>
      </c>
      <c r="I108" s="4"/>
      <c r="J108" s="4"/>
      <c r="K108" s="4">
        <v>214</v>
      </c>
      <c r="L108" s="4">
        <v>16</v>
      </c>
      <c r="M108" s="4">
        <v>3</v>
      </c>
      <c r="N108" s="4" t="s">
        <v>3</v>
      </c>
      <c r="O108" s="4">
        <v>2</v>
      </c>
      <c r="P108" s="4"/>
      <c r="Q108" s="4"/>
      <c r="R108" s="4"/>
      <c r="S108" s="4"/>
      <c r="T108" s="4"/>
      <c r="U108" s="4"/>
      <c r="V108" s="4"/>
      <c r="W108" s="4"/>
    </row>
    <row r="109" spans="1:23">
      <c r="A109" s="4">
        <v>50</v>
      </c>
      <c r="B109" s="4">
        <v>0</v>
      </c>
      <c r="C109" s="4">
        <v>0</v>
      </c>
      <c r="D109" s="4">
        <v>1</v>
      </c>
      <c r="E109" s="4">
        <v>215</v>
      </c>
      <c r="F109" s="4">
        <f>ROUND(Source!AT91,O109)</f>
        <v>18900.09</v>
      </c>
      <c r="G109" s="4" t="s">
        <v>56</v>
      </c>
      <c r="H109" s="4" t="s">
        <v>57</v>
      </c>
      <c r="I109" s="4"/>
      <c r="J109" s="4"/>
      <c r="K109" s="4">
        <v>215</v>
      </c>
      <c r="L109" s="4">
        <v>17</v>
      </c>
      <c r="M109" s="4">
        <v>3</v>
      </c>
      <c r="N109" s="4" t="s">
        <v>3</v>
      </c>
      <c r="O109" s="4">
        <v>2</v>
      </c>
      <c r="P109" s="4"/>
      <c r="Q109" s="4"/>
      <c r="R109" s="4"/>
      <c r="S109" s="4"/>
      <c r="T109" s="4"/>
      <c r="U109" s="4"/>
      <c r="V109" s="4"/>
      <c r="W109" s="4"/>
    </row>
    <row r="110" spans="1:23">
      <c r="A110" s="4">
        <v>50</v>
      </c>
      <c r="B110" s="4">
        <v>0</v>
      </c>
      <c r="C110" s="4">
        <v>0</v>
      </c>
      <c r="D110" s="4">
        <v>1</v>
      </c>
      <c r="E110" s="4">
        <v>217</v>
      </c>
      <c r="F110" s="4">
        <f>ROUND(Source!AU91,O110)</f>
        <v>0</v>
      </c>
      <c r="G110" s="4" t="s">
        <v>58</v>
      </c>
      <c r="H110" s="4" t="s">
        <v>59</v>
      </c>
      <c r="I110" s="4"/>
      <c r="J110" s="4"/>
      <c r="K110" s="4">
        <v>217</v>
      </c>
      <c r="L110" s="4">
        <v>18</v>
      </c>
      <c r="M110" s="4">
        <v>3</v>
      </c>
      <c r="N110" s="4" t="s">
        <v>3</v>
      </c>
      <c r="O110" s="4">
        <v>2</v>
      </c>
      <c r="P110" s="4"/>
      <c r="Q110" s="4"/>
      <c r="R110" s="4"/>
      <c r="S110" s="4"/>
      <c r="T110" s="4"/>
      <c r="U110" s="4"/>
      <c r="V110" s="4"/>
      <c r="W110" s="4"/>
    </row>
    <row r="111" spans="1:23">
      <c r="A111" s="4">
        <v>50</v>
      </c>
      <c r="B111" s="4">
        <v>0</v>
      </c>
      <c r="C111" s="4">
        <v>0</v>
      </c>
      <c r="D111" s="4">
        <v>1</v>
      </c>
      <c r="E111" s="4">
        <v>230</v>
      </c>
      <c r="F111" s="4">
        <f>ROUND(Source!BA91,O111)</f>
        <v>0</v>
      </c>
      <c r="G111" s="4" t="s">
        <v>60</v>
      </c>
      <c r="H111" s="4" t="s">
        <v>61</v>
      </c>
      <c r="I111" s="4"/>
      <c r="J111" s="4"/>
      <c r="K111" s="4">
        <v>230</v>
      </c>
      <c r="L111" s="4">
        <v>19</v>
      </c>
      <c r="M111" s="4">
        <v>3</v>
      </c>
      <c r="N111" s="4" t="s">
        <v>3</v>
      </c>
      <c r="O111" s="4">
        <v>2</v>
      </c>
      <c r="P111" s="4"/>
      <c r="Q111" s="4"/>
      <c r="R111" s="4"/>
      <c r="S111" s="4"/>
      <c r="T111" s="4"/>
      <c r="U111" s="4"/>
      <c r="V111" s="4"/>
      <c r="W111" s="4"/>
    </row>
    <row r="112" spans="1:23">
      <c r="A112" s="4">
        <v>50</v>
      </c>
      <c r="B112" s="4">
        <v>0</v>
      </c>
      <c r="C112" s="4">
        <v>0</v>
      </c>
      <c r="D112" s="4">
        <v>1</v>
      </c>
      <c r="E112" s="4">
        <v>206</v>
      </c>
      <c r="F112" s="4">
        <f>ROUND(Source!T91,O112)</f>
        <v>0</v>
      </c>
      <c r="G112" s="4" t="s">
        <v>62</v>
      </c>
      <c r="H112" s="4" t="s">
        <v>63</v>
      </c>
      <c r="I112" s="4"/>
      <c r="J112" s="4"/>
      <c r="K112" s="4">
        <v>206</v>
      </c>
      <c r="L112" s="4">
        <v>20</v>
      </c>
      <c r="M112" s="4">
        <v>3</v>
      </c>
      <c r="N112" s="4" t="s">
        <v>3</v>
      </c>
      <c r="O112" s="4">
        <v>2</v>
      </c>
      <c r="P112" s="4"/>
      <c r="Q112" s="4"/>
      <c r="R112" s="4"/>
      <c r="S112" s="4"/>
      <c r="T112" s="4"/>
      <c r="U112" s="4"/>
      <c r="V112" s="4"/>
      <c r="W112" s="4"/>
    </row>
    <row r="113" spans="1:23">
      <c r="A113" s="4">
        <v>50</v>
      </c>
      <c r="B113" s="4">
        <v>0</v>
      </c>
      <c r="C113" s="4">
        <v>0</v>
      </c>
      <c r="D113" s="4">
        <v>1</v>
      </c>
      <c r="E113" s="4">
        <v>207</v>
      </c>
      <c r="F113" s="4">
        <f>Source!U91</f>
        <v>23.5</v>
      </c>
      <c r="G113" s="4" t="s">
        <v>64</v>
      </c>
      <c r="H113" s="4" t="s">
        <v>65</v>
      </c>
      <c r="I113" s="4"/>
      <c r="J113" s="4"/>
      <c r="K113" s="4">
        <v>207</v>
      </c>
      <c r="L113" s="4">
        <v>21</v>
      </c>
      <c r="M113" s="4">
        <v>3</v>
      </c>
      <c r="N113" s="4" t="s">
        <v>3</v>
      </c>
      <c r="O113" s="4">
        <v>-1</v>
      </c>
      <c r="P113" s="4"/>
      <c r="Q113" s="4"/>
      <c r="R113" s="4"/>
      <c r="S113" s="4"/>
      <c r="T113" s="4"/>
      <c r="U113" s="4"/>
      <c r="V113" s="4"/>
      <c r="W113" s="4"/>
    </row>
    <row r="114" spans="1:23">
      <c r="A114" s="4">
        <v>50</v>
      </c>
      <c r="B114" s="4">
        <v>0</v>
      </c>
      <c r="C114" s="4">
        <v>0</v>
      </c>
      <c r="D114" s="4">
        <v>1</v>
      </c>
      <c r="E114" s="4">
        <v>208</v>
      </c>
      <c r="F114" s="4">
        <f>Source!V91</f>
        <v>0</v>
      </c>
      <c r="G114" s="4" t="s">
        <v>66</v>
      </c>
      <c r="H114" s="4" t="s">
        <v>67</v>
      </c>
      <c r="I114" s="4"/>
      <c r="J114" s="4"/>
      <c r="K114" s="4">
        <v>208</v>
      </c>
      <c r="L114" s="4">
        <v>22</v>
      </c>
      <c r="M114" s="4">
        <v>3</v>
      </c>
      <c r="N114" s="4" t="s">
        <v>3</v>
      </c>
      <c r="O114" s="4">
        <v>-1</v>
      </c>
      <c r="P114" s="4"/>
      <c r="Q114" s="4"/>
      <c r="R114" s="4"/>
      <c r="S114" s="4"/>
      <c r="T114" s="4"/>
      <c r="U114" s="4"/>
      <c r="V114" s="4"/>
      <c r="W114" s="4"/>
    </row>
    <row r="115" spans="1:23">
      <c r="A115" s="4">
        <v>50</v>
      </c>
      <c r="B115" s="4">
        <v>0</v>
      </c>
      <c r="C115" s="4">
        <v>0</v>
      </c>
      <c r="D115" s="4">
        <v>1</v>
      </c>
      <c r="E115" s="4">
        <v>209</v>
      </c>
      <c r="F115" s="4">
        <f>ROUND(Source!W91,O115)</f>
        <v>0</v>
      </c>
      <c r="G115" s="4" t="s">
        <v>68</v>
      </c>
      <c r="H115" s="4" t="s">
        <v>69</v>
      </c>
      <c r="I115" s="4"/>
      <c r="J115" s="4"/>
      <c r="K115" s="4">
        <v>209</v>
      </c>
      <c r="L115" s="4">
        <v>23</v>
      </c>
      <c r="M115" s="4">
        <v>3</v>
      </c>
      <c r="N115" s="4" t="s">
        <v>3</v>
      </c>
      <c r="O115" s="4">
        <v>2</v>
      </c>
      <c r="P115" s="4"/>
      <c r="Q115" s="4"/>
      <c r="R115" s="4"/>
      <c r="S115" s="4"/>
      <c r="T115" s="4"/>
      <c r="U115" s="4"/>
      <c r="V115" s="4"/>
      <c r="W115" s="4"/>
    </row>
    <row r="116" spans="1:23">
      <c r="A116" s="4">
        <v>50</v>
      </c>
      <c r="B116" s="4">
        <v>0</v>
      </c>
      <c r="C116" s="4">
        <v>0</v>
      </c>
      <c r="D116" s="4">
        <v>1</v>
      </c>
      <c r="E116" s="4">
        <v>210</v>
      </c>
      <c r="F116" s="4">
        <f>ROUND(Source!X91,O116)</f>
        <v>5826.33</v>
      </c>
      <c r="G116" s="4" t="s">
        <v>70</v>
      </c>
      <c r="H116" s="4" t="s">
        <v>71</v>
      </c>
      <c r="I116" s="4"/>
      <c r="J116" s="4"/>
      <c r="K116" s="4">
        <v>210</v>
      </c>
      <c r="L116" s="4">
        <v>24</v>
      </c>
      <c r="M116" s="4">
        <v>3</v>
      </c>
      <c r="N116" s="4" t="s">
        <v>3</v>
      </c>
      <c r="O116" s="4">
        <v>2</v>
      </c>
      <c r="P116" s="4"/>
      <c r="Q116" s="4"/>
      <c r="R116" s="4"/>
      <c r="S116" s="4"/>
      <c r="T116" s="4"/>
      <c r="U116" s="4"/>
      <c r="V116" s="4"/>
      <c r="W116" s="4"/>
    </row>
    <row r="117" spans="1:23">
      <c r="A117" s="4">
        <v>50</v>
      </c>
      <c r="B117" s="4">
        <v>0</v>
      </c>
      <c r="C117" s="4">
        <v>0</v>
      </c>
      <c r="D117" s="4">
        <v>1</v>
      </c>
      <c r="E117" s="4">
        <v>211</v>
      </c>
      <c r="F117" s="4">
        <f>ROUND(Source!Y91,O117)</f>
        <v>4112.71</v>
      </c>
      <c r="G117" s="4" t="s">
        <v>72</v>
      </c>
      <c r="H117" s="4" t="s">
        <v>73</v>
      </c>
      <c r="I117" s="4"/>
      <c r="J117" s="4"/>
      <c r="K117" s="4">
        <v>211</v>
      </c>
      <c r="L117" s="4">
        <v>25</v>
      </c>
      <c r="M117" s="4">
        <v>3</v>
      </c>
      <c r="N117" s="4" t="s">
        <v>3</v>
      </c>
      <c r="O117" s="4">
        <v>2</v>
      </c>
      <c r="P117" s="4"/>
      <c r="Q117" s="4"/>
      <c r="R117" s="4"/>
      <c r="S117" s="4"/>
      <c r="T117" s="4"/>
      <c r="U117" s="4"/>
      <c r="V117" s="4"/>
      <c r="W117" s="4"/>
    </row>
    <row r="118" spans="1:23">
      <c r="A118" s="4">
        <v>50</v>
      </c>
      <c r="B118" s="4">
        <v>0</v>
      </c>
      <c r="C118" s="4">
        <v>0</v>
      </c>
      <c r="D118" s="4">
        <v>1</v>
      </c>
      <c r="E118" s="4">
        <v>224</v>
      </c>
      <c r="F118" s="4">
        <f>ROUND(Source!AR91,O118)</f>
        <v>18900.09</v>
      </c>
      <c r="G118" s="4" t="s">
        <v>74</v>
      </c>
      <c r="H118" s="4" t="s">
        <v>75</v>
      </c>
      <c r="I118" s="4"/>
      <c r="J118" s="4"/>
      <c r="K118" s="4">
        <v>224</v>
      </c>
      <c r="L118" s="4">
        <v>26</v>
      </c>
      <c r="M118" s="4">
        <v>3</v>
      </c>
      <c r="N118" s="4" t="s">
        <v>3</v>
      </c>
      <c r="O118" s="4">
        <v>2</v>
      </c>
      <c r="P118" s="4"/>
      <c r="Q118" s="4"/>
      <c r="R118" s="4"/>
      <c r="S118" s="4"/>
      <c r="T118" s="4"/>
      <c r="U118" s="4"/>
      <c r="V118" s="4"/>
      <c r="W118" s="4"/>
    </row>
    <row r="121" spans="1:23">
      <c r="A121">
        <v>70</v>
      </c>
      <c r="B121">
        <v>1</v>
      </c>
      <c r="D121">
        <v>1</v>
      </c>
      <c r="E121" t="s">
        <v>82</v>
      </c>
      <c r="F121" t="s">
        <v>83</v>
      </c>
      <c r="G121">
        <v>1</v>
      </c>
      <c r="H121">
        <v>0</v>
      </c>
      <c r="I121" t="s">
        <v>3</v>
      </c>
      <c r="J121">
        <v>1</v>
      </c>
      <c r="K121">
        <v>0</v>
      </c>
      <c r="L121" t="s">
        <v>3</v>
      </c>
      <c r="M121" t="s">
        <v>3</v>
      </c>
      <c r="N121">
        <v>0</v>
      </c>
    </row>
    <row r="122" spans="1:23">
      <c r="A122">
        <v>70</v>
      </c>
      <c r="B122">
        <v>1</v>
      </c>
      <c r="D122">
        <v>2</v>
      </c>
      <c r="E122" t="s">
        <v>84</v>
      </c>
      <c r="F122" t="s">
        <v>85</v>
      </c>
      <c r="G122">
        <v>0</v>
      </c>
      <c r="H122">
        <v>0</v>
      </c>
      <c r="I122" t="s">
        <v>3</v>
      </c>
      <c r="J122">
        <v>1</v>
      </c>
      <c r="K122">
        <v>0</v>
      </c>
      <c r="L122" t="s">
        <v>3</v>
      </c>
      <c r="M122" t="s">
        <v>3</v>
      </c>
      <c r="N122">
        <v>0</v>
      </c>
    </row>
    <row r="123" spans="1:23">
      <c r="A123">
        <v>70</v>
      </c>
      <c r="B123">
        <v>1</v>
      </c>
      <c r="D123">
        <v>3</v>
      </c>
      <c r="E123" t="s">
        <v>86</v>
      </c>
      <c r="F123" t="s">
        <v>87</v>
      </c>
      <c r="G123">
        <v>0</v>
      </c>
      <c r="H123">
        <v>0</v>
      </c>
      <c r="I123" t="s">
        <v>3</v>
      </c>
      <c r="J123">
        <v>1</v>
      </c>
      <c r="K123">
        <v>0</v>
      </c>
      <c r="L123" t="s">
        <v>3</v>
      </c>
      <c r="M123" t="s">
        <v>3</v>
      </c>
      <c r="N123">
        <v>0</v>
      </c>
    </row>
    <row r="124" spans="1:23">
      <c r="A124">
        <v>70</v>
      </c>
      <c r="B124">
        <v>1</v>
      </c>
      <c r="D124">
        <v>4</v>
      </c>
      <c r="E124" t="s">
        <v>88</v>
      </c>
      <c r="F124" t="s">
        <v>89</v>
      </c>
      <c r="G124">
        <v>0</v>
      </c>
      <c r="H124">
        <v>0</v>
      </c>
      <c r="I124" t="s">
        <v>90</v>
      </c>
      <c r="J124">
        <v>0</v>
      </c>
      <c r="K124">
        <v>0</v>
      </c>
      <c r="L124" t="s">
        <v>3</v>
      </c>
      <c r="M124" t="s">
        <v>3</v>
      </c>
      <c r="N124">
        <v>0</v>
      </c>
    </row>
    <row r="125" spans="1:23">
      <c r="A125">
        <v>70</v>
      </c>
      <c r="B125">
        <v>1</v>
      </c>
      <c r="D125">
        <v>5</v>
      </c>
      <c r="E125" t="s">
        <v>91</v>
      </c>
      <c r="F125" t="s">
        <v>92</v>
      </c>
      <c r="G125">
        <v>0</v>
      </c>
      <c r="H125">
        <v>0</v>
      </c>
      <c r="I125" t="s">
        <v>93</v>
      </c>
      <c r="J125">
        <v>0</v>
      </c>
      <c r="K125">
        <v>0</v>
      </c>
      <c r="L125" t="s">
        <v>3</v>
      </c>
      <c r="M125" t="s">
        <v>3</v>
      </c>
      <c r="N125">
        <v>0</v>
      </c>
    </row>
    <row r="126" spans="1:23">
      <c r="A126">
        <v>70</v>
      </c>
      <c r="B126">
        <v>1</v>
      </c>
      <c r="D126">
        <v>6</v>
      </c>
      <c r="E126" t="s">
        <v>94</v>
      </c>
      <c r="F126" t="s">
        <v>95</v>
      </c>
      <c r="G126">
        <v>0</v>
      </c>
      <c r="H126">
        <v>0</v>
      </c>
      <c r="I126" t="s">
        <v>96</v>
      </c>
      <c r="J126">
        <v>0</v>
      </c>
      <c r="K126">
        <v>0</v>
      </c>
      <c r="L126" t="s">
        <v>3</v>
      </c>
      <c r="M126" t="s">
        <v>3</v>
      </c>
      <c r="N126">
        <v>0</v>
      </c>
    </row>
    <row r="127" spans="1:23">
      <c r="A127">
        <v>70</v>
      </c>
      <c r="B127">
        <v>1</v>
      </c>
      <c r="D127">
        <v>7</v>
      </c>
      <c r="E127" t="s">
        <v>97</v>
      </c>
      <c r="F127" t="s">
        <v>98</v>
      </c>
      <c r="G127">
        <v>0</v>
      </c>
      <c r="H127">
        <v>0</v>
      </c>
      <c r="I127" t="s">
        <v>3</v>
      </c>
      <c r="J127">
        <v>0</v>
      </c>
      <c r="K127">
        <v>0</v>
      </c>
      <c r="L127" t="s">
        <v>3</v>
      </c>
      <c r="M127" t="s">
        <v>3</v>
      </c>
      <c r="N127">
        <v>0</v>
      </c>
    </row>
    <row r="128" spans="1:23">
      <c r="A128">
        <v>70</v>
      </c>
      <c r="B128">
        <v>1</v>
      </c>
      <c r="D128">
        <v>8</v>
      </c>
      <c r="E128" t="s">
        <v>99</v>
      </c>
      <c r="F128" t="s">
        <v>100</v>
      </c>
      <c r="G128">
        <v>0</v>
      </c>
      <c r="H128">
        <v>0</v>
      </c>
      <c r="I128" t="s">
        <v>101</v>
      </c>
      <c r="J128">
        <v>0</v>
      </c>
      <c r="K128">
        <v>0</v>
      </c>
      <c r="L128" t="s">
        <v>3</v>
      </c>
      <c r="M128" t="s">
        <v>3</v>
      </c>
      <c r="N128">
        <v>0</v>
      </c>
    </row>
    <row r="129" spans="1:14">
      <c r="A129">
        <v>70</v>
      </c>
      <c r="B129">
        <v>1</v>
      </c>
      <c r="D129">
        <v>9</v>
      </c>
      <c r="E129" t="s">
        <v>102</v>
      </c>
      <c r="F129" t="s">
        <v>103</v>
      </c>
      <c r="G129">
        <v>0</v>
      </c>
      <c r="H129">
        <v>0</v>
      </c>
      <c r="I129" t="s">
        <v>104</v>
      </c>
      <c r="J129">
        <v>0</v>
      </c>
      <c r="K129">
        <v>0</v>
      </c>
      <c r="L129" t="s">
        <v>3</v>
      </c>
      <c r="M129" t="s">
        <v>3</v>
      </c>
      <c r="N129">
        <v>0</v>
      </c>
    </row>
    <row r="130" spans="1:14">
      <c r="A130">
        <v>70</v>
      </c>
      <c r="B130">
        <v>1</v>
      </c>
      <c r="D130">
        <v>10</v>
      </c>
      <c r="E130" t="s">
        <v>105</v>
      </c>
      <c r="F130" t="s">
        <v>106</v>
      </c>
      <c r="G130">
        <v>0</v>
      </c>
      <c r="H130">
        <v>0</v>
      </c>
      <c r="I130" t="s">
        <v>107</v>
      </c>
      <c r="J130">
        <v>0</v>
      </c>
      <c r="K130">
        <v>0</v>
      </c>
      <c r="L130" t="s">
        <v>3</v>
      </c>
      <c r="M130" t="s">
        <v>3</v>
      </c>
      <c r="N130">
        <v>0</v>
      </c>
    </row>
    <row r="131" spans="1:14">
      <c r="A131">
        <v>70</v>
      </c>
      <c r="B131">
        <v>1</v>
      </c>
      <c r="D131">
        <v>11</v>
      </c>
      <c r="E131" t="s">
        <v>108</v>
      </c>
      <c r="F131" t="s">
        <v>109</v>
      </c>
      <c r="G131">
        <v>0</v>
      </c>
      <c r="H131">
        <v>0</v>
      </c>
      <c r="I131" t="s">
        <v>110</v>
      </c>
      <c r="J131">
        <v>0</v>
      </c>
      <c r="K131">
        <v>0</v>
      </c>
      <c r="L131" t="s">
        <v>3</v>
      </c>
      <c r="M131" t="s">
        <v>3</v>
      </c>
      <c r="N131">
        <v>0</v>
      </c>
    </row>
    <row r="132" spans="1:14">
      <c r="A132">
        <v>70</v>
      </c>
      <c r="B132">
        <v>1</v>
      </c>
      <c r="D132">
        <v>12</v>
      </c>
      <c r="E132" t="s">
        <v>111</v>
      </c>
      <c r="F132" t="s">
        <v>112</v>
      </c>
      <c r="G132">
        <v>0</v>
      </c>
      <c r="H132">
        <v>0</v>
      </c>
      <c r="I132" t="s">
        <v>3</v>
      </c>
      <c r="J132">
        <v>0</v>
      </c>
      <c r="K132">
        <v>0</v>
      </c>
      <c r="L132" t="s">
        <v>3</v>
      </c>
      <c r="M132" t="s">
        <v>3</v>
      </c>
      <c r="N132">
        <v>0</v>
      </c>
    </row>
    <row r="133" spans="1:14">
      <c r="A133">
        <v>70</v>
      </c>
      <c r="B133">
        <v>1</v>
      </c>
      <c r="D133">
        <v>1</v>
      </c>
      <c r="E133" t="s">
        <v>113</v>
      </c>
      <c r="F133" t="s">
        <v>114</v>
      </c>
      <c r="G133">
        <v>0.9</v>
      </c>
      <c r="H133">
        <v>1</v>
      </c>
      <c r="I133" t="s">
        <v>115</v>
      </c>
      <c r="J133">
        <v>0</v>
      </c>
      <c r="K133">
        <v>0</v>
      </c>
      <c r="L133" t="s">
        <v>3</v>
      </c>
      <c r="M133" t="s">
        <v>3</v>
      </c>
      <c r="N133">
        <v>0</v>
      </c>
    </row>
    <row r="134" spans="1:14">
      <c r="A134">
        <v>70</v>
      </c>
      <c r="B134">
        <v>1</v>
      </c>
      <c r="D134">
        <v>2</v>
      </c>
      <c r="E134" t="s">
        <v>116</v>
      </c>
      <c r="F134" t="s">
        <v>117</v>
      </c>
      <c r="G134">
        <v>0.85</v>
      </c>
      <c r="H134">
        <v>1</v>
      </c>
      <c r="I134" t="s">
        <v>118</v>
      </c>
      <c r="J134">
        <v>0</v>
      </c>
      <c r="K134">
        <v>0</v>
      </c>
      <c r="L134" t="s">
        <v>3</v>
      </c>
      <c r="M134" t="s">
        <v>3</v>
      </c>
      <c r="N134">
        <v>0</v>
      </c>
    </row>
    <row r="135" spans="1:14">
      <c r="A135">
        <v>70</v>
      </c>
      <c r="B135">
        <v>1</v>
      </c>
      <c r="D135">
        <v>3</v>
      </c>
      <c r="E135" t="s">
        <v>119</v>
      </c>
      <c r="F135" t="s">
        <v>120</v>
      </c>
      <c r="G135">
        <v>1</v>
      </c>
      <c r="H135">
        <v>0.85</v>
      </c>
      <c r="I135" t="s">
        <v>121</v>
      </c>
      <c r="J135">
        <v>0</v>
      </c>
      <c r="K135">
        <v>0</v>
      </c>
      <c r="L135" t="s">
        <v>3</v>
      </c>
      <c r="M135" t="s">
        <v>3</v>
      </c>
      <c r="N135">
        <v>0</v>
      </c>
    </row>
    <row r="136" spans="1:14">
      <c r="A136">
        <v>70</v>
      </c>
      <c r="B136">
        <v>1</v>
      </c>
      <c r="D136">
        <v>4</v>
      </c>
      <c r="E136" t="s">
        <v>122</v>
      </c>
      <c r="F136" t="s">
        <v>123</v>
      </c>
      <c r="G136">
        <v>1</v>
      </c>
      <c r="H136">
        <v>0</v>
      </c>
      <c r="I136" t="s">
        <v>3</v>
      </c>
      <c r="J136">
        <v>0</v>
      </c>
      <c r="K136">
        <v>0</v>
      </c>
      <c r="L136" t="s">
        <v>3</v>
      </c>
      <c r="M136" t="s">
        <v>3</v>
      </c>
      <c r="N136">
        <v>0</v>
      </c>
    </row>
    <row r="137" spans="1:14">
      <c r="A137">
        <v>70</v>
      </c>
      <c r="B137">
        <v>1</v>
      </c>
      <c r="D137">
        <v>5</v>
      </c>
      <c r="E137" t="s">
        <v>124</v>
      </c>
      <c r="F137" t="s">
        <v>125</v>
      </c>
      <c r="G137">
        <v>1</v>
      </c>
      <c r="H137">
        <v>0.8</v>
      </c>
      <c r="I137" t="s">
        <v>126</v>
      </c>
      <c r="J137">
        <v>0</v>
      </c>
      <c r="K137">
        <v>0</v>
      </c>
      <c r="L137" t="s">
        <v>3</v>
      </c>
      <c r="M137" t="s">
        <v>3</v>
      </c>
      <c r="N137">
        <v>0</v>
      </c>
    </row>
    <row r="138" spans="1:14">
      <c r="A138">
        <v>70</v>
      </c>
      <c r="B138">
        <v>1</v>
      </c>
      <c r="D138">
        <v>6</v>
      </c>
      <c r="E138" t="s">
        <v>127</v>
      </c>
      <c r="F138" t="s">
        <v>128</v>
      </c>
      <c r="G138">
        <v>0.85</v>
      </c>
      <c r="H138">
        <v>0</v>
      </c>
      <c r="I138" t="s">
        <v>3</v>
      </c>
      <c r="J138">
        <v>0</v>
      </c>
      <c r="K138">
        <v>0</v>
      </c>
      <c r="L138" t="s">
        <v>3</v>
      </c>
      <c r="M138" t="s">
        <v>3</v>
      </c>
      <c r="N138">
        <v>0</v>
      </c>
    </row>
    <row r="139" spans="1:14">
      <c r="A139">
        <v>70</v>
      </c>
      <c r="B139">
        <v>1</v>
      </c>
      <c r="D139">
        <v>7</v>
      </c>
      <c r="E139" t="s">
        <v>129</v>
      </c>
      <c r="F139" t="s">
        <v>130</v>
      </c>
      <c r="G139">
        <v>0.8</v>
      </c>
      <c r="H139">
        <v>0</v>
      </c>
      <c r="I139" t="s">
        <v>3</v>
      </c>
      <c r="J139">
        <v>0</v>
      </c>
      <c r="K139">
        <v>0</v>
      </c>
      <c r="L139" t="s">
        <v>3</v>
      </c>
      <c r="M139" t="s">
        <v>3</v>
      </c>
      <c r="N139">
        <v>0</v>
      </c>
    </row>
    <row r="140" spans="1:14">
      <c r="A140">
        <v>70</v>
      </c>
      <c r="B140">
        <v>1</v>
      </c>
      <c r="D140">
        <v>8</v>
      </c>
      <c r="E140" t="s">
        <v>131</v>
      </c>
      <c r="F140" t="s">
        <v>132</v>
      </c>
      <c r="G140">
        <v>0.7</v>
      </c>
      <c r="H140">
        <v>0</v>
      </c>
      <c r="I140" t="s">
        <v>3</v>
      </c>
      <c r="J140">
        <v>0</v>
      </c>
      <c r="K140">
        <v>0</v>
      </c>
      <c r="L140" t="s">
        <v>3</v>
      </c>
      <c r="M140" t="s">
        <v>3</v>
      </c>
      <c r="N140">
        <v>0</v>
      </c>
    </row>
    <row r="141" spans="1:14">
      <c r="A141">
        <v>70</v>
      </c>
      <c r="B141">
        <v>1</v>
      </c>
      <c r="D141">
        <v>9</v>
      </c>
      <c r="E141" t="s">
        <v>133</v>
      </c>
      <c r="F141" t="s">
        <v>134</v>
      </c>
      <c r="G141">
        <v>0.9</v>
      </c>
      <c r="H141">
        <v>0</v>
      </c>
      <c r="I141" t="s">
        <v>3</v>
      </c>
      <c r="J141">
        <v>0</v>
      </c>
      <c r="K141">
        <v>0</v>
      </c>
      <c r="L141" t="s">
        <v>3</v>
      </c>
      <c r="M141" t="s">
        <v>3</v>
      </c>
      <c r="N141">
        <v>0</v>
      </c>
    </row>
    <row r="142" spans="1:14">
      <c r="A142">
        <v>70</v>
      </c>
      <c r="B142">
        <v>1</v>
      </c>
      <c r="D142">
        <v>10</v>
      </c>
      <c r="E142" t="s">
        <v>135</v>
      </c>
      <c r="F142" t="s">
        <v>136</v>
      </c>
      <c r="G142">
        <v>0.6</v>
      </c>
      <c r="H142">
        <v>0</v>
      </c>
      <c r="I142" t="s">
        <v>3</v>
      </c>
      <c r="J142">
        <v>0</v>
      </c>
      <c r="K142">
        <v>0</v>
      </c>
      <c r="L142" t="s">
        <v>3</v>
      </c>
      <c r="M142" t="s">
        <v>3</v>
      </c>
      <c r="N142">
        <v>0</v>
      </c>
    </row>
    <row r="143" spans="1:14">
      <c r="A143">
        <v>70</v>
      </c>
      <c r="B143">
        <v>1</v>
      </c>
      <c r="D143">
        <v>11</v>
      </c>
      <c r="E143" t="s">
        <v>137</v>
      </c>
      <c r="F143" t="s">
        <v>138</v>
      </c>
      <c r="G143">
        <v>1.2</v>
      </c>
      <c r="H143">
        <v>0</v>
      </c>
      <c r="I143" t="s">
        <v>3</v>
      </c>
      <c r="J143">
        <v>0</v>
      </c>
      <c r="K143">
        <v>0</v>
      </c>
      <c r="L143" t="s">
        <v>3</v>
      </c>
      <c r="M143" t="s">
        <v>3</v>
      </c>
      <c r="N143">
        <v>0</v>
      </c>
    </row>
    <row r="144" spans="1:14">
      <c r="A144">
        <v>70</v>
      </c>
      <c r="B144">
        <v>1</v>
      </c>
      <c r="D144">
        <v>12</v>
      </c>
      <c r="E144" t="s">
        <v>139</v>
      </c>
      <c r="F144" t="s">
        <v>140</v>
      </c>
      <c r="G144">
        <v>0</v>
      </c>
      <c r="H144">
        <v>0</v>
      </c>
      <c r="I144" t="s">
        <v>3</v>
      </c>
      <c r="J144">
        <v>0</v>
      </c>
      <c r="K144">
        <v>0</v>
      </c>
      <c r="L144" t="s">
        <v>3</v>
      </c>
      <c r="M144" t="s">
        <v>3</v>
      </c>
      <c r="N144">
        <v>0</v>
      </c>
    </row>
    <row r="145" spans="1:27">
      <c r="A145">
        <v>70</v>
      </c>
      <c r="B145">
        <v>1</v>
      </c>
      <c r="D145">
        <v>13</v>
      </c>
      <c r="E145" t="s">
        <v>141</v>
      </c>
      <c r="F145" t="s">
        <v>142</v>
      </c>
      <c r="G145">
        <v>1</v>
      </c>
      <c r="H145">
        <v>0</v>
      </c>
      <c r="I145" t="s">
        <v>3</v>
      </c>
      <c r="J145">
        <v>0</v>
      </c>
      <c r="K145">
        <v>0</v>
      </c>
      <c r="L145" t="s">
        <v>3</v>
      </c>
      <c r="M145" t="s">
        <v>3</v>
      </c>
      <c r="N145">
        <v>0</v>
      </c>
    </row>
    <row r="147" spans="1:27">
      <c r="A147">
        <v>-1</v>
      </c>
    </row>
    <row r="149" spans="1:27">
      <c r="A149" s="3">
        <v>75</v>
      </c>
      <c r="B149" s="3" t="s">
        <v>143</v>
      </c>
      <c r="C149" s="3">
        <v>2020</v>
      </c>
      <c r="D149" s="3">
        <v>0</v>
      </c>
      <c r="E149" s="3">
        <v>5</v>
      </c>
      <c r="F149" s="3"/>
      <c r="G149" s="3">
        <v>0</v>
      </c>
      <c r="H149" s="3">
        <v>1</v>
      </c>
      <c r="I149" s="3">
        <v>0</v>
      </c>
      <c r="J149" s="3">
        <v>3</v>
      </c>
      <c r="K149" s="3">
        <v>0</v>
      </c>
      <c r="L149" s="3">
        <v>0</v>
      </c>
      <c r="M149" s="3">
        <v>0</v>
      </c>
      <c r="N149" s="3">
        <v>33052118</v>
      </c>
      <c r="O149" s="3">
        <v>1</v>
      </c>
    </row>
    <row r="150" spans="1:27">
      <c r="A150" s="5">
        <v>1</v>
      </c>
      <c r="B150" s="5" t="s">
        <v>144</v>
      </c>
      <c r="C150" s="5" t="s">
        <v>145</v>
      </c>
      <c r="D150" s="5">
        <v>2020</v>
      </c>
      <c r="E150" s="5">
        <v>5</v>
      </c>
      <c r="F150" s="5">
        <v>1</v>
      </c>
      <c r="G150" s="5">
        <v>1</v>
      </c>
      <c r="H150" s="5">
        <v>0</v>
      </c>
      <c r="I150" s="5">
        <v>2</v>
      </c>
      <c r="J150" s="5">
        <v>1</v>
      </c>
      <c r="K150" s="5">
        <v>1</v>
      </c>
      <c r="L150" s="5">
        <v>1</v>
      </c>
      <c r="M150" s="5">
        <v>1</v>
      </c>
      <c r="N150" s="5">
        <v>1</v>
      </c>
      <c r="O150" s="5">
        <v>1</v>
      </c>
      <c r="P150" s="5">
        <v>1</v>
      </c>
      <c r="Q150" s="5">
        <v>1</v>
      </c>
      <c r="R150" s="5" t="s">
        <v>3</v>
      </c>
      <c r="S150" s="5" t="s">
        <v>3</v>
      </c>
      <c r="T150" s="5" t="s">
        <v>3</v>
      </c>
      <c r="U150" s="5" t="s">
        <v>3</v>
      </c>
      <c r="V150" s="5" t="s">
        <v>3</v>
      </c>
      <c r="W150" s="5" t="s">
        <v>3</v>
      </c>
      <c r="X150" s="5" t="s">
        <v>3</v>
      </c>
      <c r="Y150" s="5" t="s">
        <v>3</v>
      </c>
      <c r="Z150" s="5" t="s">
        <v>3</v>
      </c>
      <c r="AA150" s="5" t="s">
        <v>3</v>
      </c>
    </row>
    <row r="154" spans="1:27">
      <c r="A154">
        <v>65</v>
      </c>
      <c r="C154">
        <v>1</v>
      </c>
      <c r="D154">
        <v>0</v>
      </c>
      <c r="E154">
        <v>245</v>
      </c>
    </row>
  </sheetData>
  <phoneticPr fontId="0" type="noConversion"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C52"/>
  <sheetViews>
    <sheetView workbookViewId="0"/>
  </sheetViews>
  <sheetFormatPr defaultColWidth="9.109375" defaultRowHeight="13.2"/>
  <sheetData>
    <row r="1" spans="1:133">
      <c r="A1">
        <v>0</v>
      </c>
      <c r="B1" t="s">
        <v>0</v>
      </c>
      <c r="D1" t="s">
        <v>146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14465</v>
      </c>
      <c r="M1">
        <v>10</v>
      </c>
      <c r="N1">
        <v>10</v>
      </c>
      <c r="O1">
        <v>1</v>
      </c>
      <c r="P1">
        <v>0</v>
      </c>
      <c r="Q1">
        <v>11</v>
      </c>
    </row>
    <row r="12" spans="1:133">
      <c r="A12" s="1">
        <v>1</v>
      </c>
      <c r="B12" s="1">
        <v>51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10</v>
      </c>
      <c r="CE12" s="1" t="s">
        <v>11</v>
      </c>
      <c r="CF12" s="1">
        <v>0</v>
      </c>
      <c r="CG12" s="1">
        <v>0</v>
      </c>
      <c r="CH12" s="1">
        <v>524296</v>
      </c>
      <c r="CI12" s="1" t="s">
        <v>3</v>
      </c>
      <c r="CJ12" s="1" t="s">
        <v>3</v>
      </c>
      <c r="CK12" s="1">
        <v>2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>
      <c r="A14" s="1">
        <v>22</v>
      </c>
      <c r="B14" s="1">
        <v>0</v>
      </c>
      <c r="C14" s="1">
        <v>0</v>
      </c>
      <c r="D14" s="1">
        <v>33052118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>
      <c r="A16" s="6">
        <v>3</v>
      </c>
      <c r="B16" s="6">
        <v>1</v>
      </c>
      <c r="C16" s="6" t="s">
        <v>3</v>
      </c>
      <c r="D16" s="6" t="s">
        <v>12</v>
      </c>
      <c r="E16" s="7">
        <f>(Source!F43)/1000</f>
        <v>0</v>
      </c>
      <c r="F16" s="7">
        <f>(Source!F44)/1000</f>
        <v>3.3027699999999998</v>
      </c>
      <c r="G16" s="7">
        <f>(Source!F35)/1000</f>
        <v>0</v>
      </c>
      <c r="H16" s="7">
        <f>(Source!F45)/1000+(Source!F46)/1000</f>
        <v>0</v>
      </c>
      <c r="I16" s="7">
        <f>E16+F16+G16+H16</f>
        <v>3.3027699999999998</v>
      </c>
      <c r="J16" s="7">
        <f>(Source!F41)/1000</f>
        <v>1.5290599999999999</v>
      </c>
      <c r="AI16" s="6">
        <v>0</v>
      </c>
      <c r="AJ16" s="6">
        <v>-1</v>
      </c>
      <c r="AK16" s="6" t="s">
        <v>3</v>
      </c>
      <c r="AL16" s="6" t="s">
        <v>3</v>
      </c>
      <c r="AM16" s="6" t="s">
        <v>3</v>
      </c>
      <c r="AN16" s="6">
        <v>0</v>
      </c>
      <c r="AO16" s="6" t="s">
        <v>3</v>
      </c>
      <c r="AP16" s="6" t="s">
        <v>3</v>
      </c>
      <c r="AT16" s="7">
        <v>1834.87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1834.87</v>
      </c>
      <c r="BB16" s="7">
        <v>0</v>
      </c>
      <c r="BC16" s="7">
        <v>3963.32</v>
      </c>
      <c r="BD16" s="7">
        <v>0</v>
      </c>
      <c r="BE16" s="7">
        <v>0</v>
      </c>
      <c r="BF16" s="7">
        <v>5.4</v>
      </c>
      <c r="BG16" s="7">
        <v>0</v>
      </c>
      <c r="BH16" s="7">
        <v>0</v>
      </c>
      <c r="BI16" s="7">
        <v>1247.71</v>
      </c>
      <c r="BJ16" s="7">
        <v>880.74</v>
      </c>
      <c r="BK16" s="7">
        <v>3963.32</v>
      </c>
    </row>
    <row r="17" spans="1:63">
      <c r="A17" s="6">
        <v>3</v>
      </c>
      <c r="B17" s="6">
        <v>2</v>
      </c>
      <c r="C17" s="6" t="s">
        <v>3</v>
      </c>
      <c r="D17" s="6" t="s">
        <v>19</v>
      </c>
      <c r="E17" s="7">
        <f>(Source!F79)/1000</f>
        <v>0</v>
      </c>
      <c r="F17" s="7">
        <f>(Source!F80)/1000</f>
        <v>15.59732</v>
      </c>
      <c r="G17" s="7">
        <f>(Source!F71)/1000</f>
        <v>0</v>
      </c>
      <c r="H17" s="7">
        <f>(Source!F81)/1000+(Source!F82)/1000</f>
        <v>0</v>
      </c>
      <c r="I17" s="7">
        <f>E17+F17+G17+H17</f>
        <v>15.59732</v>
      </c>
      <c r="J17" s="7">
        <f>(Source!F77)/1000</f>
        <v>7.0390800000000002</v>
      </c>
      <c r="AI17" s="6">
        <v>0</v>
      </c>
      <c r="AJ17" s="6">
        <v>-1</v>
      </c>
      <c r="AK17" s="6" t="s">
        <v>3</v>
      </c>
      <c r="AL17" s="6" t="s">
        <v>3</v>
      </c>
      <c r="AM17" s="6" t="s">
        <v>3</v>
      </c>
      <c r="AN17" s="6">
        <v>0</v>
      </c>
      <c r="AO17" s="6" t="s">
        <v>3</v>
      </c>
      <c r="AP17" s="6" t="s">
        <v>3</v>
      </c>
      <c r="AT17" s="7">
        <v>8839.81</v>
      </c>
      <c r="AU17" s="7">
        <v>392.91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8446.9</v>
      </c>
      <c r="BB17" s="7">
        <v>0</v>
      </c>
      <c r="BC17" s="7">
        <v>18638.22</v>
      </c>
      <c r="BD17" s="7">
        <v>0</v>
      </c>
      <c r="BE17" s="7">
        <v>0</v>
      </c>
      <c r="BF17" s="7">
        <v>22.8</v>
      </c>
      <c r="BG17" s="7">
        <v>0</v>
      </c>
      <c r="BH17" s="7">
        <v>0</v>
      </c>
      <c r="BI17" s="7">
        <v>5743.9</v>
      </c>
      <c r="BJ17" s="7">
        <v>4054.51</v>
      </c>
      <c r="BK17" s="7">
        <v>18638.22</v>
      </c>
    </row>
    <row r="19" spans="1:63">
      <c r="A19">
        <v>51</v>
      </c>
      <c r="E19" s="8">
        <f>SUMIF(A16:A18,3,E16:E18)</f>
        <v>0</v>
      </c>
      <c r="F19" s="8">
        <f>SUMIF(A16:A18,3,F16:F18)</f>
        <v>18.900089999999999</v>
      </c>
      <c r="G19" s="8">
        <f>SUMIF(A16:A18,3,G16:G18)</f>
        <v>0</v>
      </c>
      <c r="H19" s="8">
        <f>SUMIF(A16:A18,3,H16:H18)</f>
        <v>0</v>
      </c>
      <c r="I19" s="8">
        <f>SUMIF(A16:A18,3,I16:I18)</f>
        <v>18.900089999999999</v>
      </c>
      <c r="J19" s="8">
        <f>SUMIF(A16:A18,3,J16:J18)</f>
        <v>8.5681399999999996</v>
      </c>
      <c r="K19" s="8"/>
      <c r="L19" s="8"/>
      <c r="M19" s="8"/>
      <c r="N19" s="8"/>
      <c r="O19" s="8"/>
      <c r="P19" s="8"/>
      <c r="Q19" s="8"/>
      <c r="R19" s="8"/>
      <c r="S19" s="8"/>
    </row>
    <row r="21" spans="1:63">
      <c r="A21" s="4">
        <v>50</v>
      </c>
      <c r="B21" s="4">
        <v>0</v>
      </c>
      <c r="C21" s="4">
        <v>0</v>
      </c>
      <c r="D21" s="4">
        <v>1</v>
      </c>
      <c r="E21" s="4">
        <v>201</v>
      </c>
      <c r="F21" s="4">
        <v>10674.68</v>
      </c>
      <c r="G21" s="4" t="s">
        <v>24</v>
      </c>
      <c r="H21" s="4" t="s">
        <v>25</v>
      </c>
      <c r="I21" s="4"/>
      <c r="J21" s="4"/>
      <c r="K21" s="4">
        <v>201</v>
      </c>
      <c r="L21" s="4">
        <v>1</v>
      </c>
      <c r="M21" s="4">
        <v>3</v>
      </c>
      <c r="N21" s="4" t="s">
        <v>3</v>
      </c>
      <c r="O21" s="4">
        <v>2</v>
      </c>
      <c r="P21" s="4"/>
    </row>
    <row r="22" spans="1:63">
      <c r="A22" s="4">
        <v>50</v>
      </c>
      <c r="B22" s="4">
        <v>0</v>
      </c>
      <c r="C22" s="4">
        <v>0</v>
      </c>
      <c r="D22" s="4">
        <v>1</v>
      </c>
      <c r="E22" s="4">
        <v>202</v>
      </c>
      <c r="F22" s="4">
        <v>392.91</v>
      </c>
      <c r="G22" s="4" t="s">
        <v>26</v>
      </c>
      <c r="H22" s="4" t="s">
        <v>27</v>
      </c>
      <c r="I22" s="4"/>
      <c r="J22" s="4"/>
      <c r="K22" s="4">
        <v>202</v>
      </c>
      <c r="L22" s="4">
        <v>2</v>
      </c>
      <c r="M22" s="4">
        <v>3</v>
      </c>
      <c r="N22" s="4" t="s">
        <v>3</v>
      </c>
      <c r="O22" s="4">
        <v>2</v>
      </c>
      <c r="P22" s="4"/>
    </row>
    <row r="23" spans="1:63">
      <c r="A23" s="4">
        <v>50</v>
      </c>
      <c r="B23" s="4">
        <v>0</v>
      </c>
      <c r="C23" s="4">
        <v>0</v>
      </c>
      <c r="D23" s="4">
        <v>1</v>
      </c>
      <c r="E23" s="4">
        <v>222</v>
      </c>
      <c r="F23" s="4">
        <v>0</v>
      </c>
      <c r="G23" s="4" t="s">
        <v>28</v>
      </c>
      <c r="H23" s="4" t="s">
        <v>29</v>
      </c>
      <c r="I23" s="4"/>
      <c r="J23" s="4"/>
      <c r="K23" s="4">
        <v>222</v>
      </c>
      <c r="L23" s="4">
        <v>3</v>
      </c>
      <c r="M23" s="4">
        <v>3</v>
      </c>
      <c r="N23" s="4" t="s">
        <v>3</v>
      </c>
      <c r="O23" s="4">
        <v>2</v>
      </c>
      <c r="P23" s="4"/>
    </row>
    <row r="24" spans="1:63">
      <c r="A24" s="4">
        <v>50</v>
      </c>
      <c r="B24" s="4">
        <v>0</v>
      </c>
      <c r="C24" s="4">
        <v>0</v>
      </c>
      <c r="D24" s="4">
        <v>1</v>
      </c>
      <c r="E24" s="4">
        <v>225</v>
      </c>
      <c r="F24" s="4">
        <v>392.91</v>
      </c>
      <c r="G24" s="4" t="s">
        <v>30</v>
      </c>
      <c r="H24" s="4" t="s">
        <v>31</v>
      </c>
      <c r="I24" s="4"/>
      <c r="J24" s="4"/>
      <c r="K24" s="4">
        <v>225</v>
      </c>
      <c r="L24" s="4">
        <v>4</v>
      </c>
      <c r="M24" s="4">
        <v>3</v>
      </c>
      <c r="N24" s="4" t="s">
        <v>3</v>
      </c>
      <c r="O24" s="4">
        <v>2</v>
      </c>
      <c r="P24" s="4"/>
    </row>
    <row r="25" spans="1:63">
      <c r="A25" s="4">
        <v>50</v>
      </c>
      <c r="B25" s="4">
        <v>0</v>
      </c>
      <c r="C25" s="4">
        <v>0</v>
      </c>
      <c r="D25" s="4">
        <v>1</v>
      </c>
      <c r="E25" s="4">
        <v>226</v>
      </c>
      <c r="F25" s="4">
        <v>392.91</v>
      </c>
      <c r="G25" s="4" t="s">
        <v>32</v>
      </c>
      <c r="H25" s="4" t="s">
        <v>33</v>
      </c>
      <c r="I25" s="4"/>
      <c r="J25" s="4"/>
      <c r="K25" s="4">
        <v>226</v>
      </c>
      <c r="L25" s="4">
        <v>5</v>
      </c>
      <c r="M25" s="4">
        <v>3</v>
      </c>
      <c r="N25" s="4" t="s">
        <v>3</v>
      </c>
      <c r="O25" s="4">
        <v>2</v>
      </c>
      <c r="P25" s="4"/>
    </row>
    <row r="26" spans="1:63">
      <c r="A26" s="4">
        <v>50</v>
      </c>
      <c r="B26" s="4">
        <v>0</v>
      </c>
      <c r="C26" s="4">
        <v>0</v>
      </c>
      <c r="D26" s="4">
        <v>1</v>
      </c>
      <c r="E26" s="4">
        <v>227</v>
      </c>
      <c r="F26" s="4">
        <v>0</v>
      </c>
      <c r="G26" s="4" t="s">
        <v>34</v>
      </c>
      <c r="H26" s="4" t="s">
        <v>35</v>
      </c>
      <c r="I26" s="4"/>
      <c r="J26" s="4"/>
      <c r="K26" s="4">
        <v>227</v>
      </c>
      <c r="L26" s="4">
        <v>6</v>
      </c>
      <c r="M26" s="4">
        <v>3</v>
      </c>
      <c r="N26" s="4" t="s">
        <v>3</v>
      </c>
      <c r="O26" s="4">
        <v>2</v>
      </c>
      <c r="P26" s="4"/>
    </row>
    <row r="27" spans="1:63">
      <c r="A27" s="4">
        <v>50</v>
      </c>
      <c r="B27" s="4">
        <v>0</v>
      </c>
      <c r="C27" s="4">
        <v>0</v>
      </c>
      <c r="D27" s="4">
        <v>1</v>
      </c>
      <c r="E27" s="4">
        <v>228</v>
      </c>
      <c r="F27" s="4">
        <v>392.91</v>
      </c>
      <c r="G27" s="4" t="s">
        <v>36</v>
      </c>
      <c r="H27" s="4" t="s">
        <v>37</v>
      </c>
      <c r="I27" s="4"/>
      <c r="J27" s="4"/>
      <c r="K27" s="4">
        <v>228</v>
      </c>
      <c r="L27" s="4">
        <v>7</v>
      </c>
      <c r="M27" s="4">
        <v>3</v>
      </c>
      <c r="N27" s="4" t="s">
        <v>3</v>
      </c>
      <c r="O27" s="4">
        <v>2</v>
      </c>
      <c r="P27" s="4"/>
    </row>
    <row r="28" spans="1:63">
      <c r="A28" s="4">
        <v>50</v>
      </c>
      <c r="B28" s="4">
        <v>0</v>
      </c>
      <c r="C28" s="4">
        <v>0</v>
      </c>
      <c r="D28" s="4">
        <v>1</v>
      </c>
      <c r="E28" s="4">
        <v>216</v>
      </c>
      <c r="F28" s="4">
        <v>0</v>
      </c>
      <c r="G28" s="4" t="s">
        <v>38</v>
      </c>
      <c r="H28" s="4" t="s">
        <v>39</v>
      </c>
      <c r="I28" s="4"/>
      <c r="J28" s="4"/>
      <c r="K28" s="4">
        <v>216</v>
      </c>
      <c r="L28" s="4">
        <v>8</v>
      </c>
      <c r="M28" s="4">
        <v>3</v>
      </c>
      <c r="N28" s="4" t="s">
        <v>3</v>
      </c>
      <c r="O28" s="4">
        <v>2</v>
      </c>
      <c r="P28" s="4"/>
    </row>
    <row r="29" spans="1:63">
      <c r="A29" s="4">
        <v>50</v>
      </c>
      <c r="B29" s="4">
        <v>0</v>
      </c>
      <c r="C29" s="4">
        <v>0</v>
      </c>
      <c r="D29" s="4">
        <v>1</v>
      </c>
      <c r="E29" s="4">
        <v>223</v>
      </c>
      <c r="F29" s="4">
        <v>0</v>
      </c>
      <c r="G29" s="4" t="s">
        <v>40</v>
      </c>
      <c r="H29" s="4" t="s">
        <v>41</v>
      </c>
      <c r="I29" s="4"/>
      <c r="J29" s="4"/>
      <c r="K29" s="4">
        <v>223</v>
      </c>
      <c r="L29" s="4">
        <v>9</v>
      </c>
      <c r="M29" s="4">
        <v>3</v>
      </c>
      <c r="N29" s="4" t="s">
        <v>3</v>
      </c>
      <c r="O29" s="4">
        <v>2</v>
      </c>
      <c r="P29" s="4"/>
    </row>
    <row r="30" spans="1:63">
      <c r="A30" s="4">
        <v>50</v>
      </c>
      <c r="B30" s="4">
        <v>0</v>
      </c>
      <c r="C30" s="4">
        <v>0</v>
      </c>
      <c r="D30" s="4">
        <v>1</v>
      </c>
      <c r="E30" s="4">
        <v>229</v>
      </c>
      <c r="F30" s="4">
        <v>0</v>
      </c>
      <c r="G30" s="4" t="s">
        <v>42</v>
      </c>
      <c r="H30" s="4" t="s">
        <v>43</v>
      </c>
      <c r="I30" s="4"/>
      <c r="J30" s="4"/>
      <c r="K30" s="4">
        <v>229</v>
      </c>
      <c r="L30" s="4">
        <v>10</v>
      </c>
      <c r="M30" s="4">
        <v>3</v>
      </c>
      <c r="N30" s="4" t="s">
        <v>3</v>
      </c>
      <c r="O30" s="4">
        <v>2</v>
      </c>
      <c r="P30" s="4"/>
    </row>
    <row r="31" spans="1:63">
      <c r="A31" s="4">
        <v>50</v>
      </c>
      <c r="B31" s="4">
        <v>0</v>
      </c>
      <c r="C31" s="4">
        <v>0</v>
      </c>
      <c r="D31" s="4">
        <v>1</v>
      </c>
      <c r="E31" s="4">
        <v>203</v>
      </c>
      <c r="F31" s="4">
        <v>0</v>
      </c>
      <c r="G31" s="4" t="s">
        <v>44</v>
      </c>
      <c r="H31" s="4" t="s">
        <v>45</v>
      </c>
      <c r="I31" s="4"/>
      <c r="J31" s="4"/>
      <c r="K31" s="4">
        <v>203</v>
      </c>
      <c r="L31" s="4">
        <v>11</v>
      </c>
      <c r="M31" s="4">
        <v>3</v>
      </c>
      <c r="N31" s="4" t="s">
        <v>3</v>
      </c>
      <c r="O31" s="4">
        <v>2</v>
      </c>
      <c r="P31" s="4"/>
    </row>
    <row r="32" spans="1:63">
      <c r="A32" s="4">
        <v>50</v>
      </c>
      <c r="B32" s="4">
        <v>0</v>
      </c>
      <c r="C32" s="4">
        <v>0</v>
      </c>
      <c r="D32" s="4">
        <v>1</v>
      </c>
      <c r="E32" s="4">
        <v>231</v>
      </c>
      <c r="F32" s="4">
        <v>0</v>
      </c>
      <c r="G32" s="4" t="s">
        <v>46</v>
      </c>
      <c r="H32" s="4" t="s">
        <v>47</v>
      </c>
      <c r="I32" s="4"/>
      <c r="J32" s="4"/>
      <c r="K32" s="4">
        <v>231</v>
      </c>
      <c r="L32" s="4">
        <v>12</v>
      </c>
      <c r="M32" s="4">
        <v>3</v>
      </c>
      <c r="N32" s="4" t="s">
        <v>3</v>
      </c>
      <c r="O32" s="4">
        <v>2</v>
      </c>
      <c r="P32" s="4"/>
    </row>
    <row r="33" spans="1:16">
      <c r="A33" s="4">
        <v>50</v>
      </c>
      <c r="B33" s="4">
        <v>0</v>
      </c>
      <c r="C33" s="4">
        <v>0</v>
      </c>
      <c r="D33" s="4">
        <v>1</v>
      </c>
      <c r="E33" s="4">
        <v>204</v>
      </c>
      <c r="F33" s="4">
        <v>0</v>
      </c>
      <c r="G33" s="4" t="s">
        <v>48</v>
      </c>
      <c r="H33" s="4" t="s">
        <v>49</v>
      </c>
      <c r="I33" s="4"/>
      <c r="J33" s="4"/>
      <c r="K33" s="4">
        <v>204</v>
      </c>
      <c r="L33" s="4">
        <v>13</v>
      </c>
      <c r="M33" s="4">
        <v>3</v>
      </c>
      <c r="N33" s="4" t="s">
        <v>3</v>
      </c>
      <c r="O33" s="4">
        <v>2</v>
      </c>
      <c r="P33" s="4"/>
    </row>
    <row r="34" spans="1:16">
      <c r="A34" s="4">
        <v>50</v>
      </c>
      <c r="B34" s="4">
        <v>0</v>
      </c>
      <c r="C34" s="4">
        <v>0</v>
      </c>
      <c r="D34" s="4">
        <v>1</v>
      </c>
      <c r="E34" s="4">
        <v>205</v>
      </c>
      <c r="F34" s="4">
        <v>10281.77</v>
      </c>
      <c r="G34" s="4" t="s">
        <v>50</v>
      </c>
      <c r="H34" s="4" t="s">
        <v>51</v>
      </c>
      <c r="I34" s="4"/>
      <c r="J34" s="4"/>
      <c r="K34" s="4">
        <v>205</v>
      </c>
      <c r="L34" s="4">
        <v>14</v>
      </c>
      <c r="M34" s="4">
        <v>3</v>
      </c>
      <c r="N34" s="4" t="s">
        <v>3</v>
      </c>
      <c r="O34" s="4">
        <v>2</v>
      </c>
      <c r="P34" s="4"/>
    </row>
    <row r="35" spans="1:16">
      <c r="A35" s="4">
        <v>50</v>
      </c>
      <c r="B35" s="4">
        <v>0</v>
      </c>
      <c r="C35" s="4">
        <v>0</v>
      </c>
      <c r="D35" s="4">
        <v>1</v>
      </c>
      <c r="E35" s="4">
        <v>232</v>
      </c>
      <c r="F35" s="4">
        <v>0</v>
      </c>
      <c r="G35" s="4" t="s">
        <v>52</v>
      </c>
      <c r="H35" s="4" t="s">
        <v>53</v>
      </c>
      <c r="I35" s="4"/>
      <c r="J35" s="4"/>
      <c r="K35" s="4">
        <v>232</v>
      </c>
      <c r="L35" s="4">
        <v>15</v>
      </c>
      <c r="M35" s="4">
        <v>3</v>
      </c>
      <c r="N35" s="4" t="s">
        <v>3</v>
      </c>
      <c r="O35" s="4">
        <v>2</v>
      </c>
      <c r="P35" s="4"/>
    </row>
    <row r="36" spans="1:16">
      <c r="A36" s="4">
        <v>50</v>
      </c>
      <c r="B36" s="4">
        <v>0</v>
      </c>
      <c r="C36" s="4">
        <v>0</v>
      </c>
      <c r="D36" s="4">
        <v>1</v>
      </c>
      <c r="E36" s="4">
        <v>214</v>
      </c>
      <c r="F36" s="4">
        <v>0</v>
      </c>
      <c r="G36" s="4" t="s">
        <v>54</v>
      </c>
      <c r="H36" s="4" t="s">
        <v>55</v>
      </c>
      <c r="I36" s="4"/>
      <c r="J36" s="4"/>
      <c r="K36" s="4">
        <v>214</v>
      </c>
      <c r="L36" s="4">
        <v>16</v>
      </c>
      <c r="M36" s="4">
        <v>3</v>
      </c>
      <c r="N36" s="4" t="s">
        <v>3</v>
      </c>
      <c r="O36" s="4">
        <v>2</v>
      </c>
      <c r="P36" s="4"/>
    </row>
    <row r="37" spans="1:16">
      <c r="A37" s="4">
        <v>50</v>
      </c>
      <c r="B37" s="4">
        <v>0</v>
      </c>
      <c r="C37" s="4">
        <v>0</v>
      </c>
      <c r="D37" s="4">
        <v>1</v>
      </c>
      <c r="E37" s="4">
        <v>215</v>
      </c>
      <c r="F37" s="4">
        <v>22601.54</v>
      </c>
      <c r="G37" s="4" t="s">
        <v>56</v>
      </c>
      <c r="H37" s="4" t="s">
        <v>57</v>
      </c>
      <c r="I37" s="4"/>
      <c r="J37" s="4"/>
      <c r="K37" s="4">
        <v>215</v>
      </c>
      <c r="L37" s="4">
        <v>17</v>
      </c>
      <c r="M37" s="4">
        <v>3</v>
      </c>
      <c r="N37" s="4" t="s">
        <v>3</v>
      </c>
      <c r="O37" s="4">
        <v>2</v>
      </c>
      <c r="P37" s="4"/>
    </row>
    <row r="38" spans="1:16">
      <c r="A38" s="4">
        <v>50</v>
      </c>
      <c r="B38" s="4">
        <v>0</v>
      </c>
      <c r="C38" s="4">
        <v>0</v>
      </c>
      <c r="D38" s="4">
        <v>1</v>
      </c>
      <c r="E38" s="4">
        <v>217</v>
      </c>
      <c r="F38" s="4">
        <v>0</v>
      </c>
      <c r="G38" s="4" t="s">
        <v>58</v>
      </c>
      <c r="H38" s="4" t="s">
        <v>59</v>
      </c>
      <c r="I38" s="4"/>
      <c r="J38" s="4"/>
      <c r="K38" s="4">
        <v>217</v>
      </c>
      <c r="L38" s="4">
        <v>18</v>
      </c>
      <c r="M38" s="4">
        <v>3</v>
      </c>
      <c r="N38" s="4" t="s">
        <v>3</v>
      </c>
      <c r="O38" s="4">
        <v>2</v>
      </c>
      <c r="P38" s="4"/>
    </row>
    <row r="39" spans="1:16">
      <c r="A39" s="4">
        <v>50</v>
      </c>
      <c r="B39" s="4">
        <v>0</v>
      </c>
      <c r="C39" s="4">
        <v>0</v>
      </c>
      <c r="D39" s="4">
        <v>1</v>
      </c>
      <c r="E39" s="4">
        <v>230</v>
      </c>
      <c r="F39" s="4">
        <v>0</v>
      </c>
      <c r="G39" s="4" t="s">
        <v>60</v>
      </c>
      <c r="H39" s="4" t="s">
        <v>61</v>
      </c>
      <c r="I39" s="4"/>
      <c r="J39" s="4"/>
      <c r="K39" s="4">
        <v>230</v>
      </c>
      <c r="L39" s="4">
        <v>19</v>
      </c>
      <c r="M39" s="4">
        <v>3</v>
      </c>
      <c r="N39" s="4" t="s">
        <v>3</v>
      </c>
      <c r="O39" s="4">
        <v>2</v>
      </c>
      <c r="P39" s="4"/>
    </row>
    <row r="40" spans="1:16">
      <c r="A40" s="4">
        <v>50</v>
      </c>
      <c r="B40" s="4">
        <v>0</v>
      </c>
      <c r="C40" s="4">
        <v>0</v>
      </c>
      <c r="D40" s="4">
        <v>1</v>
      </c>
      <c r="E40" s="4">
        <v>206</v>
      </c>
      <c r="F40" s="4">
        <v>0</v>
      </c>
      <c r="G40" s="4" t="s">
        <v>62</v>
      </c>
      <c r="H40" s="4" t="s">
        <v>63</v>
      </c>
      <c r="I40" s="4"/>
      <c r="J40" s="4"/>
      <c r="K40" s="4">
        <v>206</v>
      </c>
      <c r="L40" s="4">
        <v>20</v>
      </c>
      <c r="M40" s="4">
        <v>3</v>
      </c>
      <c r="N40" s="4" t="s">
        <v>3</v>
      </c>
      <c r="O40" s="4">
        <v>2</v>
      </c>
      <c r="P40" s="4"/>
    </row>
    <row r="41" spans="1:16">
      <c r="A41" s="4">
        <v>50</v>
      </c>
      <c r="B41" s="4">
        <v>0</v>
      </c>
      <c r="C41" s="4">
        <v>0</v>
      </c>
      <c r="D41" s="4">
        <v>1</v>
      </c>
      <c r="E41" s="4">
        <v>207</v>
      </c>
      <c r="F41" s="4">
        <v>28.2</v>
      </c>
      <c r="G41" s="4" t="s">
        <v>64</v>
      </c>
      <c r="H41" s="4" t="s">
        <v>65</v>
      </c>
      <c r="I41" s="4"/>
      <c r="J41" s="4"/>
      <c r="K41" s="4">
        <v>207</v>
      </c>
      <c r="L41" s="4">
        <v>21</v>
      </c>
      <c r="M41" s="4">
        <v>3</v>
      </c>
      <c r="N41" s="4" t="s">
        <v>3</v>
      </c>
      <c r="O41" s="4">
        <v>-1</v>
      </c>
      <c r="P41" s="4"/>
    </row>
    <row r="42" spans="1:16">
      <c r="A42" s="4">
        <v>50</v>
      </c>
      <c r="B42" s="4">
        <v>0</v>
      </c>
      <c r="C42" s="4">
        <v>0</v>
      </c>
      <c r="D42" s="4">
        <v>1</v>
      </c>
      <c r="E42" s="4">
        <v>208</v>
      </c>
      <c r="F42" s="4">
        <v>0</v>
      </c>
      <c r="G42" s="4" t="s">
        <v>66</v>
      </c>
      <c r="H42" s="4" t="s">
        <v>67</v>
      </c>
      <c r="I42" s="4"/>
      <c r="J42" s="4"/>
      <c r="K42" s="4">
        <v>208</v>
      </c>
      <c r="L42" s="4">
        <v>22</v>
      </c>
      <c r="M42" s="4">
        <v>3</v>
      </c>
      <c r="N42" s="4" t="s">
        <v>3</v>
      </c>
      <c r="O42" s="4">
        <v>-1</v>
      </c>
      <c r="P42" s="4"/>
    </row>
    <row r="43" spans="1:16">
      <c r="A43" s="4">
        <v>50</v>
      </c>
      <c r="B43" s="4">
        <v>0</v>
      </c>
      <c r="C43" s="4">
        <v>0</v>
      </c>
      <c r="D43" s="4">
        <v>1</v>
      </c>
      <c r="E43" s="4">
        <v>209</v>
      </c>
      <c r="F43" s="4">
        <v>0</v>
      </c>
      <c r="G43" s="4" t="s">
        <v>68</v>
      </c>
      <c r="H43" s="4" t="s">
        <v>69</v>
      </c>
      <c r="I43" s="4"/>
      <c r="J43" s="4"/>
      <c r="K43" s="4">
        <v>209</v>
      </c>
      <c r="L43" s="4">
        <v>23</v>
      </c>
      <c r="M43" s="4">
        <v>3</v>
      </c>
      <c r="N43" s="4" t="s">
        <v>3</v>
      </c>
      <c r="O43" s="4">
        <v>2</v>
      </c>
      <c r="P43" s="4"/>
    </row>
    <row r="44" spans="1:16">
      <c r="A44" s="4">
        <v>50</v>
      </c>
      <c r="B44" s="4">
        <v>0</v>
      </c>
      <c r="C44" s="4">
        <v>0</v>
      </c>
      <c r="D44" s="4">
        <v>1</v>
      </c>
      <c r="E44" s="4">
        <v>210</v>
      </c>
      <c r="F44" s="4">
        <v>6991.61</v>
      </c>
      <c r="G44" s="4" t="s">
        <v>70</v>
      </c>
      <c r="H44" s="4" t="s">
        <v>71</v>
      </c>
      <c r="I44" s="4"/>
      <c r="J44" s="4"/>
      <c r="K44" s="4">
        <v>210</v>
      </c>
      <c r="L44" s="4">
        <v>24</v>
      </c>
      <c r="M44" s="4">
        <v>3</v>
      </c>
      <c r="N44" s="4" t="s">
        <v>3</v>
      </c>
      <c r="O44" s="4">
        <v>2</v>
      </c>
      <c r="P44" s="4"/>
    </row>
    <row r="45" spans="1:16">
      <c r="A45" s="4">
        <v>50</v>
      </c>
      <c r="B45" s="4">
        <v>0</v>
      </c>
      <c r="C45" s="4">
        <v>0</v>
      </c>
      <c r="D45" s="4">
        <v>1</v>
      </c>
      <c r="E45" s="4">
        <v>211</v>
      </c>
      <c r="F45" s="4">
        <v>4935.25</v>
      </c>
      <c r="G45" s="4" t="s">
        <v>72</v>
      </c>
      <c r="H45" s="4" t="s">
        <v>73</v>
      </c>
      <c r="I45" s="4"/>
      <c r="J45" s="4"/>
      <c r="K45" s="4">
        <v>211</v>
      </c>
      <c r="L45" s="4">
        <v>25</v>
      </c>
      <c r="M45" s="4">
        <v>3</v>
      </c>
      <c r="N45" s="4" t="s">
        <v>3</v>
      </c>
      <c r="O45" s="4">
        <v>2</v>
      </c>
      <c r="P45" s="4"/>
    </row>
    <row r="46" spans="1:16">
      <c r="A46" s="4">
        <v>50</v>
      </c>
      <c r="B46" s="4">
        <v>0</v>
      </c>
      <c r="C46" s="4">
        <v>0</v>
      </c>
      <c r="D46" s="4">
        <v>1</v>
      </c>
      <c r="E46" s="4">
        <v>224</v>
      </c>
      <c r="F46" s="4">
        <v>22601.54</v>
      </c>
      <c r="G46" s="4" t="s">
        <v>74</v>
      </c>
      <c r="H46" s="4" t="s">
        <v>75</v>
      </c>
      <c r="I46" s="4"/>
      <c r="J46" s="4"/>
      <c r="K46" s="4">
        <v>224</v>
      </c>
      <c r="L46" s="4">
        <v>26</v>
      </c>
      <c r="M46" s="4">
        <v>3</v>
      </c>
      <c r="N46" s="4" t="s">
        <v>3</v>
      </c>
      <c r="O46" s="4">
        <v>2</v>
      </c>
      <c r="P46" s="4"/>
    </row>
    <row r="48" spans="1:16">
      <c r="A48">
        <v>-1</v>
      </c>
    </row>
    <row r="51" spans="1:27">
      <c r="A51" s="3">
        <v>75</v>
      </c>
      <c r="B51" s="3" t="s">
        <v>143</v>
      </c>
      <c r="C51" s="3">
        <v>2020</v>
      </c>
      <c r="D51" s="3">
        <v>0</v>
      </c>
      <c r="E51" s="3">
        <v>5</v>
      </c>
      <c r="F51" s="3"/>
      <c r="G51" s="3">
        <v>0</v>
      </c>
      <c r="H51" s="3">
        <v>1</v>
      </c>
      <c r="I51" s="3">
        <v>0</v>
      </c>
      <c r="J51" s="3">
        <v>3</v>
      </c>
      <c r="K51" s="3">
        <v>0</v>
      </c>
      <c r="L51" s="3">
        <v>0</v>
      </c>
      <c r="M51" s="3">
        <v>0</v>
      </c>
      <c r="N51" s="3">
        <v>33052118</v>
      </c>
      <c r="O51" s="3">
        <v>1</v>
      </c>
    </row>
    <row r="52" spans="1:27">
      <c r="A52" s="5">
        <v>1</v>
      </c>
      <c r="B52" s="5" t="s">
        <v>144</v>
      </c>
      <c r="C52" s="5" t="s">
        <v>145</v>
      </c>
      <c r="D52" s="5">
        <v>2020</v>
      </c>
      <c r="E52" s="5">
        <v>5</v>
      </c>
      <c r="F52" s="5">
        <v>1</v>
      </c>
      <c r="G52" s="5">
        <v>1</v>
      </c>
      <c r="H52" s="5">
        <v>0</v>
      </c>
      <c r="I52" s="5">
        <v>2</v>
      </c>
      <c r="J52" s="5">
        <v>1</v>
      </c>
      <c r="K52" s="5">
        <v>1</v>
      </c>
      <c r="L52" s="5">
        <v>1</v>
      </c>
      <c r="M52" s="5">
        <v>1</v>
      </c>
      <c r="N52" s="5">
        <v>1</v>
      </c>
      <c r="O52" s="5">
        <v>1</v>
      </c>
      <c r="P52" s="5">
        <v>1</v>
      </c>
      <c r="Q52" s="5">
        <v>1</v>
      </c>
      <c r="R52" s="5" t="s">
        <v>3</v>
      </c>
      <c r="S52" s="5" t="s">
        <v>3</v>
      </c>
      <c r="T52" s="5" t="s">
        <v>3</v>
      </c>
      <c r="U52" s="5" t="s">
        <v>3</v>
      </c>
      <c r="V52" s="5" t="s">
        <v>3</v>
      </c>
      <c r="W52" s="5" t="s">
        <v>3</v>
      </c>
      <c r="X52" s="5" t="s">
        <v>3</v>
      </c>
      <c r="Y52" s="5" t="s">
        <v>3</v>
      </c>
      <c r="Z52" s="5" t="s">
        <v>3</v>
      </c>
      <c r="AA52" s="5" t="s">
        <v>3</v>
      </c>
    </row>
  </sheetData>
  <phoneticPr fontId="0" type="noConversion"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C20"/>
  <sheetViews>
    <sheetView workbookViewId="0"/>
  </sheetViews>
  <sheetFormatPr defaultColWidth="9.109375" defaultRowHeight="13.2"/>
  <sheetData>
    <row r="1" spans="1:107">
      <c r="A1">
        <f>ROW(Source!A24)</f>
        <v>24</v>
      </c>
      <c r="B1">
        <v>33052118</v>
      </c>
      <c r="C1">
        <v>33052195</v>
      </c>
      <c r="D1">
        <v>30217997</v>
      </c>
      <c r="E1">
        <v>1</v>
      </c>
      <c r="F1">
        <v>1</v>
      </c>
      <c r="G1">
        <v>1</v>
      </c>
      <c r="H1">
        <v>1</v>
      </c>
      <c r="I1" t="s">
        <v>147</v>
      </c>
      <c r="J1" t="s">
        <v>3</v>
      </c>
      <c r="K1" t="s">
        <v>148</v>
      </c>
      <c r="L1">
        <v>1191</v>
      </c>
      <c r="N1">
        <v>1013</v>
      </c>
      <c r="O1" t="s">
        <v>149</v>
      </c>
      <c r="P1" t="s">
        <v>149</v>
      </c>
      <c r="Q1">
        <v>1</v>
      </c>
      <c r="W1">
        <v>0</v>
      </c>
      <c r="X1">
        <v>1627947075</v>
      </c>
      <c r="Y1">
        <v>5.4</v>
      </c>
      <c r="AA1">
        <v>0</v>
      </c>
      <c r="AB1">
        <v>0</v>
      </c>
      <c r="AC1">
        <v>0</v>
      </c>
      <c r="AD1">
        <v>10.35</v>
      </c>
      <c r="AE1">
        <v>0</v>
      </c>
      <c r="AF1">
        <v>0</v>
      </c>
      <c r="AG1">
        <v>0</v>
      </c>
      <c r="AH1">
        <v>10.35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3</v>
      </c>
      <c r="AT1">
        <v>15</v>
      </c>
      <c r="AU1" t="s">
        <v>18</v>
      </c>
      <c r="AV1">
        <v>1</v>
      </c>
      <c r="AW1">
        <v>2</v>
      </c>
      <c r="AX1">
        <v>33052196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5.4</v>
      </c>
      <c r="CY1">
        <f>AD1</f>
        <v>10.35</v>
      </c>
      <c r="CZ1">
        <f>AH1</f>
        <v>10.35</v>
      </c>
      <c r="DA1">
        <f>AL1</f>
        <v>1</v>
      </c>
      <c r="DB1">
        <f>ROUND((ROUND(AT1*CZ1,2)*1.2*0.3),6)</f>
        <v>55.89</v>
      </c>
      <c r="DC1">
        <f>ROUND((ROUND(AT1*AG1,2)*1.2*0.3),6)</f>
        <v>0</v>
      </c>
    </row>
    <row r="2" spans="1:107">
      <c r="A2">
        <f>ROW(Source!A24)</f>
        <v>24</v>
      </c>
      <c r="B2">
        <v>33052118</v>
      </c>
      <c r="C2">
        <v>33052195</v>
      </c>
      <c r="D2">
        <v>30222283</v>
      </c>
      <c r="E2">
        <v>1</v>
      </c>
      <c r="F2">
        <v>1</v>
      </c>
      <c r="G2">
        <v>1</v>
      </c>
      <c r="H2">
        <v>3</v>
      </c>
      <c r="I2" t="s">
        <v>150</v>
      </c>
      <c r="J2" t="s">
        <v>151</v>
      </c>
      <c r="K2" t="s">
        <v>152</v>
      </c>
      <c r="L2">
        <v>1346</v>
      </c>
      <c r="N2">
        <v>1009</v>
      </c>
      <c r="O2" t="s">
        <v>153</v>
      </c>
      <c r="P2" t="s">
        <v>153</v>
      </c>
      <c r="Q2">
        <v>1</v>
      </c>
      <c r="W2">
        <v>0</v>
      </c>
      <c r="X2">
        <v>1387914298</v>
      </c>
      <c r="Y2">
        <v>0</v>
      </c>
      <c r="AA2">
        <v>201.45</v>
      </c>
      <c r="AB2">
        <v>0</v>
      </c>
      <c r="AC2">
        <v>0</v>
      </c>
      <c r="AD2">
        <v>0</v>
      </c>
      <c r="AE2">
        <v>38.89</v>
      </c>
      <c r="AF2">
        <v>0</v>
      </c>
      <c r="AG2">
        <v>0</v>
      </c>
      <c r="AH2">
        <v>0</v>
      </c>
      <c r="AI2">
        <v>5.18</v>
      </c>
      <c r="AJ2">
        <v>1</v>
      </c>
      <c r="AK2">
        <v>1</v>
      </c>
      <c r="AL2">
        <v>1</v>
      </c>
      <c r="AN2">
        <v>0</v>
      </c>
      <c r="AO2">
        <v>1</v>
      </c>
      <c r="AP2">
        <v>1</v>
      </c>
      <c r="AQ2">
        <v>0</v>
      </c>
      <c r="AR2">
        <v>0</v>
      </c>
      <c r="AS2" t="s">
        <v>3</v>
      </c>
      <c r="AT2">
        <v>0.31</v>
      </c>
      <c r="AU2" t="s">
        <v>17</v>
      </c>
      <c r="AV2">
        <v>0</v>
      </c>
      <c r="AW2">
        <v>2</v>
      </c>
      <c r="AX2">
        <v>33052197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</v>
      </c>
      <c r="CY2">
        <f t="shared" ref="CY2:CY9" si="0">AA2</f>
        <v>201.45</v>
      </c>
      <c r="CZ2">
        <f t="shared" ref="CZ2:CZ9" si="1">AE2</f>
        <v>38.89</v>
      </c>
      <c r="DA2">
        <f t="shared" ref="DA2:DA9" si="2">AI2</f>
        <v>5.18</v>
      </c>
      <c r="DB2">
        <f t="shared" ref="DB2:DB9" si="3">ROUND((ROUND(AT2*CZ2,2)*0),6)</f>
        <v>0</v>
      </c>
      <c r="DC2">
        <f t="shared" ref="DC2:DC9" si="4">ROUND((ROUND(AT2*AG2,2)*0),6)</f>
        <v>0</v>
      </c>
    </row>
    <row r="3" spans="1:107">
      <c r="A3">
        <f>ROW(Source!A24)</f>
        <v>24</v>
      </c>
      <c r="B3">
        <v>33052118</v>
      </c>
      <c r="C3">
        <v>33052195</v>
      </c>
      <c r="D3">
        <v>30222587</v>
      </c>
      <c r="E3">
        <v>1</v>
      </c>
      <c r="F3">
        <v>1</v>
      </c>
      <c r="G3">
        <v>1</v>
      </c>
      <c r="H3">
        <v>3</v>
      </c>
      <c r="I3" t="s">
        <v>154</v>
      </c>
      <c r="J3" t="s">
        <v>155</v>
      </c>
      <c r="K3" t="s">
        <v>156</v>
      </c>
      <c r="L3">
        <v>1346</v>
      </c>
      <c r="N3">
        <v>1009</v>
      </c>
      <c r="O3" t="s">
        <v>153</v>
      </c>
      <c r="P3" t="s">
        <v>153</v>
      </c>
      <c r="Q3">
        <v>1</v>
      </c>
      <c r="W3">
        <v>0</v>
      </c>
      <c r="X3">
        <v>1559187994</v>
      </c>
      <c r="Y3">
        <v>0</v>
      </c>
      <c r="AA3">
        <v>184.47</v>
      </c>
      <c r="AB3">
        <v>0</v>
      </c>
      <c r="AC3">
        <v>0</v>
      </c>
      <c r="AD3">
        <v>0</v>
      </c>
      <c r="AE3">
        <v>27.74</v>
      </c>
      <c r="AF3">
        <v>0</v>
      </c>
      <c r="AG3">
        <v>0</v>
      </c>
      <c r="AH3">
        <v>0</v>
      </c>
      <c r="AI3">
        <v>6.65</v>
      </c>
      <c r="AJ3">
        <v>1</v>
      </c>
      <c r="AK3">
        <v>1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3</v>
      </c>
      <c r="AT3">
        <v>8.8999999999999996E-2</v>
      </c>
      <c r="AU3" t="s">
        <v>17</v>
      </c>
      <c r="AV3">
        <v>0</v>
      </c>
      <c r="AW3">
        <v>2</v>
      </c>
      <c r="AX3">
        <v>33052198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0</v>
      </c>
      <c r="CY3">
        <f t="shared" si="0"/>
        <v>184.47</v>
      </c>
      <c r="CZ3">
        <f t="shared" si="1"/>
        <v>27.74</v>
      </c>
      <c r="DA3">
        <f t="shared" si="2"/>
        <v>6.65</v>
      </c>
      <c r="DB3">
        <f t="shared" si="3"/>
        <v>0</v>
      </c>
      <c r="DC3">
        <f t="shared" si="4"/>
        <v>0</v>
      </c>
    </row>
    <row r="4" spans="1:107">
      <c r="A4">
        <f>ROW(Source!A24)</f>
        <v>24</v>
      </c>
      <c r="B4">
        <v>33052118</v>
      </c>
      <c r="C4">
        <v>33052195</v>
      </c>
      <c r="D4">
        <v>30223972</v>
      </c>
      <c r="E4">
        <v>1</v>
      </c>
      <c r="F4">
        <v>1</v>
      </c>
      <c r="G4">
        <v>1</v>
      </c>
      <c r="H4">
        <v>3</v>
      </c>
      <c r="I4" t="s">
        <v>157</v>
      </c>
      <c r="J4" t="s">
        <v>158</v>
      </c>
      <c r="K4" t="s">
        <v>159</v>
      </c>
      <c r="L4">
        <v>1383</v>
      </c>
      <c r="N4">
        <v>1013</v>
      </c>
      <c r="O4" t="s">
        <v>160</v>
      </c>
      <c r="P4" t="s">
        <v>160</v>
      </c>
      <c r="Q4">
        <v>1</v>
      </c>
      <c r="W4">
        <v>0</v>
      </c>
      <c r="X4">
        <v>-1379976516</v>
      </c>
      <c r="Y4">
        <v>0</v>
      </c>
      <c r="AA4">
        <v>4.49</v>
      </c>
      <c r="AB4">
        <v>0</v>
      </c>
      <c r="AC4">
        <v>0</v>
      </c>
      <c r="AD4">
        <v>0</v>
      </c>
      <c r="AE4">
        <v>0.4</v>
      </c>
      <c r="AF4">
        <v>0</v>
      </c>
      <c r="AG4">
        <v>0</v>
      </c>
      <c r="AH4">
        <v>0</v>
      </c>
      <c r="AI4">
        <v>11.23</v>
      </c>
      <c r="AJ4">
        <v>1</v>
      </c>
      <c r="AK4">
        <v>1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3</v>
      </c>
      <c r="AT4">
        <v>10</v>
      </c>
      <c r="AU4" t="s">
        <v>17</v>
      </c>
      <c r="AV4">
        <v>0</v>
      </c>
      <c r="AW4">
        <v>2</v>
      </c>
      <c r="AX4">
        <v>33052199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0</v>
      </c>
      <c r="CY4">
        <f t="shared" si="0"/>
        <v>4.49</v>
      </c>
      <c r="CZ4">
        <f t="shared" si="1"/>
        <v>0.4</v>
      </c>
      <c r="DA4">
        <f t="shared" si="2"/>
        <v>11.23</v>
      </c>
      <c r="DB4">
        <f t="shared" si="3"/>
        <v>0</v>
      </c>
      <c r="DC4">
        <f t="shared" si="4"/>
        <v>0</v>
      </c>
    </row>
    <row r="5" spans="1:107">
      <c r="A5">
        <f>ROW(Source!A24)</f>
        <v>24</v>
      </c>
      <c r="B5">
        <v>33052118</v>
      </c>
      <c r="C5">
        <v>33052195</v>
      </c>
      <c r="D5">
        <v>30224236</v>
      </c>
      <c r="E5">
        <v>1</v>
      </c>
      <c r="F5">
        <v>1</v>
      </c>
      <c r="G5">
        <v>1</v>
      </c>
      <c r="H5">
        <v>3</v>
      </c>
      <c r="I5" t="s">
        <v>161</v>
      </c>
      <c r="J5" t="s">
        <v>162</v>
      </c>
      <c r="K5" t="s">
        <v>163</v>
      </c>
      <c r="L5">
        <v>1346</v>
      </c>
      <c r="N5">
        <v>1009</v>
      </c>
      <c r="O5" t="s">
        <v>153</v>
      </c>
      <c r="P5" t="s">
        <v>153</v>
      </c>
      <c r="Q5">
        <v>1</v>
      </c>
      <c r="W5">
        <v>0</v>
      </c>
      <c r="X5">
        <v>1730218770</v>
      </c>
      <c r="Y5">
        <v>0</v>
      </c>
      <c r="AA5">
        <v>165.84</v>
      </c>
      <c r="AB5">
        <v>0</v>
      </c>
      <c r="AC5">
        <v>0</v>
      </c>
      <c r="AD5">
        <v>0</v>
      </c>
      <c r="AE5">
        <v>39.020000000000003</v>
      </c>
      <c r="AF5">
        <v>0</v>
      </c>
      <c r="AG5">
        <v>0</v>
      </c>
      <c r="AH5">
        <v>0</v>
      </c>
      <c r="AI5">
        <v>4.25</v>
      </c>
      <c r="AJ5">
        <v>1</v>
      </c>
      <c r="AK5">
        <v>1</v>
      </c>
      <c r="AL5">
        <v>1</v>
      </c>
      <c r="AN5">
        <v>0</v>
      </c>
      <c r="AO5">
        <v>1</v>
      </c>
      <c r="AP5">
        <v>1</v>
      </c>
      <c r="AQ5">
        <v>0</v>
      </c>
      <c r="AR5">
        <v>0</v>
      </c>
      <c r="AS5" t="s">
        <v>3</v>
      </c>
      <c r="AT5">
        <v>0.17799999999999999</v>
      </c>
      <c r="AU5" t="s">
        <v>17</v>
      </c>
      <c r="AV5">
        <v>0</v>
      </c>
      <c r="AW5">
        <v>2</v>
      </c>
      <c r="AX5">
        <v>33052200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Y5*Source!I24</f>
        <v>0</v>
      </c>
      <c r="CY5">
        <f t="shared" si="0"/>
        <v>165.84</v>
      </c>
      <c r="CZ5">
        <f t="shared" si="1"/>
        <v>39.020000000000003</v>
      </c>
      <c r="DA5">
        <f t="shared" si="2"/>
        <v>4.25</v>
      </c>
      <c r="DB5">
        <f t="shared" si="3"/>
        <v>0</v>
      </c>
      <c r="DC5">
        <f t="shared" si="4"/>
        <v>0</v>
      </c>
    </row>
    <row r="6" spans="1:107">
      <c r="A6">
        <f>ROW(Source!A24)</f>
        <v>24</v>
      </c>
      <c r="B6">
        <v>33052118</v>
      </c>
      <c r="C6">
        <v>33052195</v>
      </c>
      <c r="D6">
        <v>30227660</v>
      </c>
      <c r="E6">
        <v>1</v>
      </c>
      <c r="F6">
        <v>1</v>
      </c>
      <c r="G6">
        <v>1</v>
      </c>
      <c r="H6">
        <v>3</v>
      </c>
      <c r="I6" t="s">
        <v>164</v>
      </c>
      <c r="J6" t="s">
        <v>165</v>
      </c>
      <c r="K6" t="s">
        <v>166</v>
      </c>
      <c r="L6">
        <v>1346</v>
      </c>
      <c r="N6">
        <v>1009</v>
      </c>
      <c r="O6" t="s">
        <v>153</v>
      </c>
      <c r="P6" t="s">
        <v>153</v>
      </c>
      <c r="Q6">
        <v>1</v>
      </c>
      <c r="W6">
        <v>0</v>
      </c>
      <c r="X6">
        <v>-1012196365</v>
      </c>
      <c r="Y6">
        <v>0</v>
      </c>
      <c r="AA6">
        <v>461.9</v>
      </c>
      <c r="AB6">
        <v>0</v>
      </c>
      <c r="AC6">
        <v>0</v>
      </c>
      <c r="AD6">
        <v>0</v>
      </c>
      <c r="AE6">
        <v>155</v>
      </c>
      <c r="AF6">
        <v>0</v>
      </c>
      <c r="AG6">
        <v>0</v>
      </c>
      <c r="AH6">
        <v>0</v>
      </c>
      <c r="AI6">
        <v>2.98</v>
      </c>
      <c r="AJ6">
        <v>1</v>
      </c>
      <c r="AK6">
        <v>1</v>
      </c>
      <c r="AL6">
        <v>1</v>
      </c>
      <c r="AN6">
        <v>0</v>
      </c>
      <c r="AO6">
        <v>1</v>
      </c>
      <c r="AP6">
        <v>1</v>
      </c>
      <c r="AQ6">
        <v>0</v>
      </c>
      <c r="AR6">
        <v>0</v>
      </c>
      <c r="AS6" t="s">
        <v>3</v>
      </c>
      <c r="AT6">
        <v>0.12</v>
      </c>
      <c r="AU6" t="s">
        <v>17</v>
      </c>
      <c r="AV6">
        <v>0</v>
      </c>
      <c r="AW6">
        <v>2</v>
      </c>
      <c r="AX6">
        <v>33052201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Y6*Source!I24</f>
        <v>0</v>
      </c>
      <c r="CY6">
        <f t="shared" si="0"/>
        <v>461.9</v>
      </c>
      <c r="CZ6">
        <f t="shared" si="1"/>
        <v>155</v>
      </c>
      <c r="DA6">
        <f t="shared" si="2"/>
        <v>2.98</v>
      </c>
      <c r="DB6">
        <f t="shared" si="3"/>
        <v>0</v>
      </c>
      <c r="DC6">
        <f t="shared" si="4"/>
        <v>0</v>
      </c>
    </row>
    <row r="7" spans="1:107">
      <c r="A7">
        <f>ROW(Source!A24)</f>
        <v>24</v>
      </c>
      <c r="B7">
        <v>33052118</v>
      </c>
      <c r="C7">
        <v>33052195</v>
      </c>
      <c r="D7">
        <v>30251749</v>
      </c>
      <c r="E7">
        <v>1</v>
      </c>
      <c r="F7">
        <v>1</v>
      </c>
      <c r="G7">
        <v>1</v>
      </c>
      <c r="H7">
        <v>3</v>
      </c>
      <c r="I7" t="s">
        <v>167</v>
      </c>
      <c r="J7" t="s">
        <v>168</v>
      </c>
      <c r="K7" t="s">
        <v>169</v>
      </c>
      <c r="L7">
        <v>1346</v>
      </c>
      <c r="N7">
        <v>1009</v>
      </c>
      <c r="O7" t="s">
        <v>153</v>
      </c>
      <c r="P7" t="s">
        <v>153</v>
      </c>
      <c r="Q7">
        <v>1</v>
      </c>
      <c r="W7">
        <v>0</v>
      </c>
      <c r="X7">
        <v>-1726842289</v>
      </c>
      <c r="Y7">
        <v>0</v>
      </c>
      <c r="AA7">
        <v>807.41</v>
      </c>
      <c r="AB7">
        <v>0</v>
      </c>
      <c r="AC7">
        <v>0</v>
      </c>
      <c r="AD7">
        <v>0</v>
      </c>
      <c r="AE7">
        <v>65.75</v>
      </c>
      <c r="AF7">
        <v>0</v>
      </c>
      <c r="AG7">
        <v>0</v>
      </c>
      <c r="AH7">
        <v>0</v>
      </c>
      <c r="AI7">
        <v>12.28</v>
      </c>
      <c r="AJ7">
        <v>1</v>
      </c>
      <c r="AK7">
        <v>1</v>
      </c>
      <c r="AL7">
        <v>1</v>
      </c>
      <c r="AN7">
        <v>0</v>
      </c>
      <c r="AO7">
        <v>1</v>
      </c>
      <c r="AP7">
        <v>1</v>
      </c>
      <c r="AQ7">
        <v>0</v>
      </c>
      <c r="AR7">
        <v>0</v>
      </c>
      <c r="AS7" t="s">
        <v>3</v>
      </c>
      <c r="AT7">
        <v>8.8999999999999996E-2</v>
      </c>
      <c r="AU7" t="s">
        <v>17</v>
      </c>
      <c r="AV7">
        <v>0</v>
      </c>
      <c r="AW7">
        <v>2</v>
      </c>
      <c r="AX7">
        <v>33052202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Y7*Source!I24</f>
        <v>0</v>
      </c>
      <c r="CY7">
        <f t="shared" si="0"/>
        <v>807.41</v>
      </c>
      <c r="CZ7">
        <f t="shared" si="1"/>
        <v>65.75</v>
      </c>
      <c r="DA7">
        <f t="shared" si="2"/>
        <v>12.28</v>
      </c>
      <c r="DB7">
        <f t="shared" si="3"/>
        <v>0</v>
      </c>
      <c r="DC7">
        <f t="shared" si="4"/>
        <v>0</v>
      </c>
    </row>
    <row r="8" spans="1:107">
      <c r="A8">
        <f>ROW(Source!A24)</f>
        <v>24</v>
      </c>
      <c r="B8">
        <v>33052118</v>
      </c>
      <c r="C8">
        <v>33052195</v>
      </c>
      <c r="D8">
        <v>30290132</v>
      </c>
      <c r="E8">
        <v>1</v>
      </c>
      <c r="F8">
        <v>1</v>
      </c>
      <c r="G8">
        <v>1</v>
      </c>
      <c r="H8">
        <v>3</v>
      </c>
      <c r="I8" t="s">
        <v>170</v>
      </c>
      <c r="J8" t="s">
        <v>171</v>
      </c>
      <c r="K8" t="s">
        <v>172</v>
      </c>
      <c r="L8">
        <v>1346</v>
      </c>
      <c r="N8">
        <v>1009</v>
      </c>
      <c r="O8" t="s">
        <v>153</v>
      </c>
      <c r="P8" t="s">
        <v>153</v>
      </c>
      <c r="Q8">
        <v>1</v>
      </c>
      <c r="W8">
        <v>0</v>
      </c>
      <c r="X8">
        <v>65989290</v>
      </c>
      <c r="Y8">
        <v>0</v>
      </c>
      <c r="AA8">
        <v>169.08</v>
      </c>
      <c r="AB8">
        <v>0</v>
      </c>
      <c r="AC8">
        <v>0</v>
      </c>
      <c r="AD8">
        <v>0</v>
      </c>
      <c r="AE8">
        <v>38.340000000000003</v>
      </c>
      <c r="AF8">
        <v>0</v>
      </c>
      <c r="AG8">
        <v>0</v>
      </c>
      <c r="AH8">
        <v>0</v>
      </c>
      <c r="AI8">
        <v>4.41</v>
      </c>
      <c r="AJ8">
        <v>1</v>
      </c>
      <c r="AK8">
        <v>1</v>
      </c>
      <c r="AL8">
        <v>1</v>
      </c>
      <c r="AN8">
        <v>0</v>
      </c>
      <c r="AO8">
        <v>1</v>
      </c>
      <c r="AP8">
        <v>1</v>
      </c>
      <c r="AQ8">
        <v>0</v>
      </c>
      <c r="AR8">
        <v>0</v>
      </c>
      <c r="AS8" t="s">
        <v>3</v>
      </c>
      <c r="AT8">
        <v>0.06</v>
      </c>
      <c r="AU8" t="s">
        <v>17</v>
      </c>
      <c r="AV8">
        <v>0</v>
      </c>
      <c r="AW8">
        <v>2</v>
      </c>
      <c r="AX8">
        <v>33052203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Y8*Source!I24</f>
        <v>0</v>
      </c>
      <c r="CY8">
        <f t="shared" si="0"/>
        <v>169.08</v>
      </c>
      <c r="CZ8">
        <f t="shared" si="1"/>
        <v>38.340000000000003</v>
      </c>
      <c r="DA8">
        <f t="shared" si="2"/>
        <v>4.41</v>
      </c>
      <c r="DB8">
        <f t="shared" si="3"/>
        <v>0</v>
      </c>
      <c r="DC8">
        <f t="shared" si="4"/>
        <v>0</v>
      </c>
    </row>
    <row r="9" spans="1:107">
      <c r="A9">
        <f>ROW(Source!A24)</f>
        <v>24</v>
      </c>
      <c r="B9">
        <v>33052118</v>
      </c>
      <c r="C9">
        <v>33052195</v>
      </c>
      <c r="D9">
        <v>30221230</v>
      </c>
      <c r="E9">
        <v>17</v>
      </c>
      <c r="F9">
        <v>1</v>
      </c>
      <c r="G9">
        <v>1</v>
      </c>
      <c r="H9">
        <v>3</v>
      </c>
      <c r="I9" t="s">
        <v>173</v>
      </c>
      <c r="J9" t="s">
        <v>3</v>
      </c>
      <c r="K9" t="s">
        <v>174</v>
      </c>
      <c r="L9">
        <v>1374</v>
      </c>
      <c r="N9">
        <v>1013</v>
      </c>
      <c r="O9" t="s">
        <v>175</v>
      </c>
      <c r="P9" t="s">
        <v>175</v>
      </c>
      <c r="Q9">
        <v>1</v>
      </c>
      <c r="W9">
        <v>0</v>
      </c>
      <c r="X9">
        <v>-1731369543</v>
      </c>
      <c r="Y9">
        <v>0</v>
      </c>
      <c r="AA9">
        <v>1</v>
      </c>
      <c r="AB9">
        <v>0</v>
      </c>
      <c r="AC9">
        <v>0</v>
      </c>
      <c r="AD9">
        <v>0</v>
      </c>
      <c r="AE9">
        <v>1</v>
      </c>
      <c r="AF9">
        <v>0</v>
      </c>
      <c r="AG9">
        <v>0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S9" t="s">
        <v>3</v>
      </c>
      <c r="AT9">
        <v>3.1</v>
      </c>
      <c r="AU9" t="s">
        <v>17</v>
      </c>
      <c r="AV9">
        <v>0</v>
      </c>
      <c r="AW9">
        <v>2</v>
      </c>
      <c r="AX9">
        <v>33052205</v>
      </c>
      <c r="AY9">
        <v>1</v>
      </c>
      <c r="AZ9">
        <v>0</v>
      </c>
      <c r="BA9">
        <v>10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Y9*Source!I24</f>
        <v>0</v>
      </c>
      <c r="CY9">
        <f t="shared" si="0"/>
        <v>1</v>
      </c>
      <c r="CZ9">
        <f t="shared" si="1"/>
        <v>1</v>
      </c>
      <c r="DA9">
        <f t="shared" si="2"/>
        <v>1</v>
      </c>
      <c r="DB9">
        <f t="shared" si="3"/>
        <v>0</v>
      </c>
      <c r="DC9">
        <f t="shared" si="4"/>
        <v>0</v>
      </c>
    </row>
    <row r="10" spans="1:107">
      <c r="A10">
        <f>ROW(Source!A59)</f>
        <v>59</v>
      </c>
      <c r="B10">
        <v>33052118</v>
      </c>
      <c r="C10">
        <v>33052208</v>
      </c>
      <c r="D10">
        <v>30217997</v>
      </c>
      <c r="E10">
        <v>1</v>
      </c>
      <c r="F10">
        <v>1</v>
      </c>
      <c r="G10">
        <v>1</v>
      </c>
      <c r="H10">
        <v>1</v>
      </c>
      <c r="I10" t="s">
        <v>147</v>
      </c>
      <c r="J10" t="s">
        <v>3</v>
      </c>
      <c r="K10" t="s">
        <v>148</v>
      </c>
      <c r="L10">
        <v>1191</v>
      </c>
      <c r="N10">
        <v>1013</v>
      </c>
      <c r="O10" t="s">
        <v>149</v>
      </c>
      <c r="P10" t="s">
        <v>149</v>
      </c>
      <c r="Q10">
        <v>1</v>
      </c>
      <c r="W10">
        <v>0</v>
      </c>
      <c r="X10">
        <v>1627947075</v>
      </c>
      <c r="Y10">
        <v>18</v>
      </c>
      <c r="AA10">
        <v>0</v>
      </c>
      <c r="AB10">
        <v>0</v>
      </c>
      <c r="AC10">
        <v>0</v>
      </c>
      <c r="AD10">
        <v>10.35</v>
      </c>
      <c r="AE10">
        <v>0</v>
      </c>
      <c r="AF10">
        <v>0</v>
      </c>
      <c r="AG10">
        <v>0</v>
      </c>
      <c r="AH10">
        <v>10.35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1</v>
      </c>
      <c r="AQ10">
        <v>0</v>
      </c>
      <c r="AR10">
        <v>0</v>
      </c>
      <c r="AS10" t="s">
        <v>3</v>
      </c>
      <c r="AT10">
        <v>15</v>
      </c>
      <c r="AU10" t="s">
        <v>76</v>
      </c>
      <c r="AV10">
        <v>1</v>
      </c>
      <c r="AW10">
        <v>2</v>
      </c>
      <c r="AX10">
        <v>33052218</v>
      </c>
      <c r="AY10">
        <v>1</v>
      </c>
      <c r="AZ10">
        <v>0</v>
      </c>
      <c r="BA10">
        <v>11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Y10*Source!I59</f>
        <v>18</v>
      </c>
      <c r="CY10">
        <f>AD10</f>
        <v>10.35</v>
      </c>
      <c r="CZ10">
        <f>AH10</f>
        <v>10.35</v>
      </c>
      <c r="DA10">
        <f>AL10</f>
        <v>1</v>
      </c>
      <c r="DB10">
        <f>ROUND((ROUND(AT10*CZ10,2)*1.2),6)</f>
        <v>186.3</v>
      </c>
      <c r="DC10">
        <f>ROUND((ROUND(AT10*AG10,2)*1.2),6)</f>
        <v>0</v>
      </c>
    </row>
    <row r="11" spans="1:107">
      <c r="A11">
        <f>ROW(Source!A59)</f>
        <v>59</v>
      </c>
      <c r="B11">
        <v>33052118</v>
      </c>
      <c r="C11">
        <v>33052208</v>
      </c>
      <c r="D11">
        <v>30222283</v>
      </c>
      <c r="E11">
        <v>1</v>
      </c>
      <c r="F11">
        <v>1</v>
      </c>
      <c r="G11">
        <v>1</v>
      </c>
      <c r="H11">
        <v>3</v>
      </c>
      <c r="I11" t="s">
        <v>150</v>
      </c>
      <c r="J11" t="s">
        <v>151</v>
      </c>
      <c r="K11" t="s">
        <v>152</v>
      </c>
      <c r="L11">
        <v>1346</v>
      </c>
      <c r="N11">
        <v>1009</v>
      </c>
      <c r="O11" t="s">
        <v>153</v>
      </c>
      <c r="P11" t="s">
        <v>153</v>
      </c>
      <c r="Q11">
        <v>1</v>
      </c>
      <c r="W11">
        <v>0</v>
      </c>
      <c r="X11">
        <v>1387914298</v>
      </c>
      <c r="Y11">
        <v>0.31</v>
      </c>
      <c r="AA11">
        <v>201.45</v>
      </c>
      <c r="AB11">
        <v>0</v>
      </c>
      <c r="AC11">
        <v>0</v>
      </c>
      <c r="AD11">
        <v>0</v>
      </c>
      <c r="AE11">
        <v>38.89</v>
      </c>
      <c r="AF11">
        <v>0</v>
      </c>
      <c r="AG11">
        <v>0</v>
      </c>
      <c r="AH11">
        <v>0</v>
      </c>
      <c r="AI11">
        <v>5.18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S11" t="s">
        <v>3</v>
      </c>
      <c r="AT11">
        <v>0.31</v>
      </c>
      <c r="AU11" t="s">
        <v>3</v>
      </c>
      <c r="AV11">
        <v>0</v>
      </c>
      <c r="AW11">
        <v>2</v>
      </c>
      <c r="AX11">
        <v>33052219</v>
      </c>
      <c r="AY11">
        <v>1</v>
      </c>
      <c r="AZ11">
        <v>0</v>
      </c>
      <c r="BA11">
        <v>12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Y11*Source!I59</f>
        <v>0.31</v>
      </c>
      <c r="CY11">
        <f t="shared" ref="CY11:CY18" si="5">AA11</f>
        <v>201.45</v>
      </c>
      <c r="CZ11">
        <f t="shared" ref="CZ11:CZ18" si="6">AE11</f>
        <v>38.89</v>
      </c>
      <c r="DA11">
        <f t="shared" ref="DA11:DA18" si="7">AI11</f>
        <v>5.18</v>
      </c>
      <c r="DB11">
        <f t="shared" ref="DB11:DB18" si="8">ROUND(ROUND(AT11*CZ11,2),6)</f>
        <v>12.06</v>
      </c>
      <c r="DC11">
        <f t="shared" ref="DC11:DC18" si="9">ROUND(ROUND(AT11*AG11,2),6)</f>
        <v>0</v>
      </c>
    </row>
    <row r="12" spans="1:107">
      <c r="A12">
        <f>ROW(Source!A59)</f>
        <v>59</v>
      </c>
      <c r="B12">
        <v>33052118</v>
      </c>
      <c r="C12">
        <v>33052208</v>
      </c>
      <c r="D12">
        <v>30222587</v>
      </c>
      <c r="E12">
        <v>1</v>
      </c>
      <c r="F12">
        <v>1</v>
      </c>
      <c r="G12">
        <v>1</v>
      </c>
      <c r="H12">
        <v>3</v>
      </c>
      <c r="I12" t="s">
        <v>154</v>
      </c>
      <c r="J12" t="s">
        <v>155</v>
      </c>
      <c r="K12" t="s">
        <v>156</v>
      </c>
      <c r="L12">
        <v>1346</v>
      </c>
      <c r="N12">
        <v>1009</v>
      </c>
      <c r="O12" t="s">
        <v>153</v>
      </c>
      <c r="P12" t="s">
        <v>153</v>
      </c>
      <c r="Q12">
        <v>1</v>
      </c>
      <c r="W12">
        <v>0</v>
      </c>
      <c r="X12">
        <v>1559187994</v>
      </c>
      <c r="Y12">
        <v>8.8999999999999996E-2</v>
      </c>
      <c r="AA12">
        <v>184.47</v>
      </c>
      <c r="AB12">
        <v>0</v>
      </c>
      <c r="AC12">
        <v>0</v>
      </c>
      <c r="AD12">
        <v>0</v>
      </c>
      <c r="AE12">
        <v>27.74</v>
      </c>
      <c r="AF12">
        <v>0</v>
      </c>
      <c r="AG12">
        <v>0</v>
      </c>
      <c r="AH12">
        <v>0</v>
      </c>
      <c r="AI12">
        <v>6.65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1</v>
      </c>
      <c r="AQ12">
        <v>0</v>
      </c>
      <c r="AR12">
        <v>0</v>
      </c>
      <c r="AS12" t="s">
        <v>3</v>
      </c>
      <c r="AT12">
        <v>8.8999999999999996E-2</v>
      </c>
      <c r="AU12" t="s">
        <v>3</v>
      </c>
      <c r="AV12">
        <v>0</v>
      </c>
      <c r="AW12">
        <v>2</v>
      </c>
      <c r="AX12">
        <v>33052220</v>
      </c>
      <c r="AY12">
        <v>1</v>
      </c>
      <c r="AZ12">
        <v>0</v>
      </c>
      <c r="BA12">
        <v>13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Y12*Source!I59</f>
        <v>8.8999999999999996E-2</v>
      </c>
      <c r="CY12">
        <f t="shared" si="5"/>
        <v>184.47</v>
      </c>
      <c r="CZ12">
        <f t="shared" si="6"/>
        <v>27.74</v>
      </c>
      <c r="DA12">
        <f t="shared" si="7"/>
        <v>6.65</v>
      </c>
      <c r="DB12">
        <f t="shared" si="8"/>
        <v>2.4700000000000002</v>
      </c>
      <c r="DC12">
        <f t="shared" si="9"/>
        <v>0</v>
      </c>
    </row>
    <row r="13" spans="1:107">
      <c r="A13">
        <f>ROW(Source!A59)</f>
        <v>59</v>
      </c>
      <c r="B13">
        <v>33052118</v>
      </c>
      <c r="C13">
        <v>33052208</v>
      </c>
      <c r="D13">
        <v>30223972</v>
      </c>
      <c r="E13">
        <v>1</v>
      </c>
      <c r="F13">
        <v>1</v>
      </c>
      <c r="G13">
        <v>1</v>
      </c>
      <c r="H13">
        <v>3</v>
      </c>
      <c r="I13" t="s">
        <v>157</v>
      </c>
      <c r="J13" t="s">
        <v>158</v>
      </c>
      <c r="K13" t="s">
        <v>159</v>
      </c>
      <c r="L13">
        <v>1383</v>
      </c>
      <c r="N13">
        <v>1013</v>
      </c>
      <c r="O13" t="s">
        <v>160</v>
      </c>
      <c r="P13" t="s">
        <v>160</v>
      </c>
      <c r="Q13">
        <v>1</v>
      </c>
      <c r="W13">
        <v>0</v>
      </c>
      <c r="X13">
        <v>-1379976516</v>
      </c>
      <c r="Y13">
        <v>10</v>
      </c>
      <c r="AA13">
        <v>4.49</v>
      </c>
      <c r="AB13">
        <v>0</v>
      </c>
      <c r="AC13">
        <v>0</v>
      </c>
      <c r="AD13">
        <v>0</v>
      </c>
      <c r="AE13">
        <v>0.4</v>
      </c>
      <c r="AF13">
        <v>0</v>
      </c>
      <c r="AG13">
        <v>0</v>
      </c>
      <c r="AH13">
        <v>0</v>
      </c>
      <c r="AI13">
        <v>11.23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1</v>
      </c>
      <c r="AQ13">
        <v>0</v>
      </c>
      <c r="AR13">
        <v>0</v>
      </c>
      <c r="AS13" t="s">
        <v>3</v>
      </c>
      <c r="AT13">
        <v>10</v>
      </c>
      <c r="AU13" t="s">
        <v>3</v>
      </c>
      <c r="AV13">
        <v>0</v>
      </c>
      <c r="AW13">
        <v>2</v>
      </c>
      <c r="AX13">
        <v>33052221</v>
      </c>
      <c r="AY13">
        <v>1</v>
      </c>
      <c r="AZ13">
        <v>0</v>
      </c>
      <c r="BA13">
        <v>14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Y13*Source!I59</f>
        <v>10</v>
      </c>
      <c r="CY13">
        <f t="shared" si="5"/>
        <v>4.49</v>
      </c>
      <c r="CZ13">
        <f t="shared" si="6"/>
        <v>0.4</v>
      </c>
      <c r="DA13">
        <f t="shared" si="7"/>
        <v>11.23</v>
      </c>
      <c r="DB13">
        <f t="shared" si="8"/>
        <v>4</v>
      </c>
      <c r="DC13">
        <f t="shared" si="9"/>
        <v>0</v>
      </c>
    </row>
    <row r="14" spans="1:107">
      <c r="A14">
        <f>ROW(Source!A59)</f>
        <v>59</v>
      </c>
      <c r="B14">
        <v>33052118</v>
      </c>
      <c r="C14">
        <v>33052208</v>
      </c>
      <c r="D14">
        <v>30224236</v>
      </c>
      <c r="E14">
        <v>1</v>
      </c>
      <c r="F14">
        <v>1</v>
      </c>
      <c r="G14">
        <v>1</v>
      </c>
      <c r="H14">
        <v>3</v>
      </c>
      <c r="I14" t="s">
        <v>161</v>
      </c>
      <c r="J14" t="s">
        <v>162</v>
      </c>
      <c r="K14" t="s">
        <v>163</v>
      </c>
      <c r="L14">
        <v>1346</v>
      </c>
      <c r="N14">
        <v>1009</v>
      </c>
      <c r="O14" t="s">
        <v>153</v>
      </c>
      <c r="P14" t="s">
        <v>153</v>
      </c>
      <c r="Q14">
        <v>1</v>
      </c>
      <c r="W14">
        <v>0</v>
      </c>
      <c r="X14">
        <v>1730218770</v>
      </c>
      <c r="Y14">
        <v>0.17799999999999999</v>
      </c>
      <c r="AA14">
        <v>165.84</v>
      </c>
      <c r="AB14">
        <v>0</v>
      </c>
      <c r="AC14">
        <v>0</v>
      </c>
      <c r="AD14">
        <v>0</v>
      </c>
      <c r="AE14">
        <v>39.020000000000003</v>
      </c>
      <c r="AF14">
        <v>0</v>
      </c>
      <c r="AG14">
        <v>0</v>
      </c>
      <c r="AH14">
        <v>0</v>
      </c>
      <c r="AI14">
        <v>4.25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1</v>
      </c>
      <c r="AQ14">
        <v>0</v>
      </c>
      <c r="AR14">
        <v>0</v>
      </c>
      <c r="AS14" t="s">
        <v>3</v>
      </c>
      <c r="AT14">
        <v>0.17799999999999999</v>
      </c>
      <c r="AU14" t="s">
        <v>3</v>
      </c>
      <c r="AV14">
        <v>0</v>
      </c>
      <c r="AW14">
        <v>2</v>
      </c>
      <c r="AX14">
        <v>33052222</v>
      </c>
      <c r="AY14">
        <v>1</v>
      </c>
      <c r="AZ14">
        <v>0</v>
      </c>
      <c r="BA14">
        <v>15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Y14*Source!I59</f>
        <v>0.17799999999999999</v>
      </c>
      <c r="CY14">
        <f t="shared" si="5"/>
        <v>165.84</v>
      </c>
      <c r="CZ14">
        <f t="shared" si="6"/>
        <v>39.020000000000003</v>
      </c>
      <c r="DA14">
        <f t="shared" si="7"/>
        <v>4.25</v>
      </c>
      <c r="DB14">
        <f t="shared" si="8"/>
        <v>6.95</v>
      </c>
      <c r="DC14">
        <f t="shared" si="9"/>
        <v>0</v>
      </c>
    </row>
    <row r="15" spans="1:107">
      <c r="A15">
        <f>ROW(Source!A59)</f>
        <v>59</v>
      </c>
      <c r="B15">
        <v>33052118</v>
      </c>
      <c r="C15">
        <v>33052208</v>
      </c>
      <c r="D15">
        <v>30227660</v>
      </c>
      <c r="E15">
        <v>1</v>
      </c>
      <c r="F15">
        <v>1</v>
      </c>
      <c r="G15">
        <v>1</v>
      </c>
      <c r="H15">
        <v>3</v>
      </c>
      <c r="I15" t="s">
        <v>164</v>
      </c>
      <c r="J15" t="s">
        <v>165</v>
      </c>
      <c r="K15" t="s">
        <v>166</v>
      </c>
      <c r="L15">
        <v>1346</v>
      </c>
      <c r="N15">
        <v>1009</v>
      </c>
      <c r="O15" t="s">
        <v>153</v>
      </c>
      <c r="P15" t="s">
        <v>153</v>
      </c>
      <c r="Q15">
        <v>1</v>
      </c>
      <c r="W15">
        <v>0</v>
      </c>
      <c r="X15">
        <v>-1012196365</v>
      </c>
      <c r="Y15">
        <v>0.12</v>
      </c>
      <c r="AA15">
        <v>461.9</v>
      </c>
      <c r="AB15">
        <v>0</v>
      </c>
      <c r="AC15">
        <v>0</v>
      </c>
      <c r="AD15">
        <v>0</v>
      </c>
      <c r="AE15">
        <v>155</v>
      </c>
      <c r="AF15">
        <v>0</v>
      </c>
      <c r="AG15">
        <v>0</v>
      </c>
      <c r="AH15">
        <v>0</v>
      </c>
      <c r="AI15">
        <v>2.98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1</v>
      </c>
      <c r="AQ15">
        <v>0</v>
      </c>
      <c r="AR15">
        <v>0</v>
      </c>
      <c r="AS15" t="s">
        <v>3</v>
      </c>
      <c r="AT15">
        <v>0.12</v>
      </c>
      <c r="AU15" t="s">
        <v>3</v>
      </c>
      <c r="AV15">
        <v>0</v>
      </c>
      <c r="AW15">
        <v>2</v>
      </c>
      <c r="AX15">
        <v>33052223</v>
      </c>
      <c r="AY15">
        <v>1</v>
      </c>
      <c r="AZ15">
        <v>0</v>
      </c>
      <c r="BA15">
        <v>16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Y15*Source!I59</f>
        <v>0.12</v>
      </c>
      <c r="CY15">
        <f t="shared" si="5"/>
        <v>461.9</v>
      </c>
      <c r="CZ15">
        <f t="shared" si="6"/>
        <v>155</v>
      </c>
      <c r="DA15">
        <f t="shared" si="7"/>
        <v>2.98</v>
      </c>
      <c r="DB15">
        <f t="shared" si="8"/>
        <v>18.600000000000001</v>
      </c>
      <c r="DC15">
        <f t="shared" si="9"/>
        <v>0</v>
      </c>
    </row>
    <row r="16" spans="1:107">
      <c r="A16">
        <f>ROW(Source!A59)</f>
        <v>59</v>
      </c>
      <c r="B16">
        <v>33052118</v>
      </c>
      <c r="C16">
        <v>33052208</v>
      </c>
      <c r="D16">
        <v>30251749</v>
      </c>
      <c r="E16">
        <v>1</v>
      </c>
      <c r="F16">
        <v>1</v>
      </c>
      <c r="G16">
        <v>1</v>
      </c>
      <c r="H16">
        <v>3</v>
      </c>
      <c r="I16" t="s">
        <v>167</v>
      </c>
      <c r="J16" t="s">
        <v>168</v>
      </c>
      <c r="K16" t="s">
        <v>169</v>
      </c>
      <c r="L16">
        <v>1346</v>
      </c>
      <c r="N16">
        <v>1009</v>
      </c>
      <c r="O16" t="s">
        <v>153</v>
      </c>
      <c r="P16" t="s">
        <v>153</v>
      </c>
      <c r="Q16">
        <v>1</v>
      </c>
      <c r="W16">
        <v>0</v>
      </c>
      <c r="X16">
        <v>-1726842289</v>
      </c>
      <c r="Y16">
        <v>8.8999999999999996E-2</v>
      </c>
      <c r="AA16">
        <v>807.41</v>
      </c>
      <c r="AB16">
        <v>0</v>
      </c>
      <c r="AC16">
        <v>0</v>
      </c>
      <c r="AD16">
        <v>0</v>
      </c>
      <c r="AE16">
        <v>65.75</v>
      </c>
      <c r="AF16">
        <v>0</v>
      </c>
      <c r="AG16">
        <v>0</v>
      </c>
      <c r="AH16">
        <v>0</v>
      </c>
      <c r="AI16">
        <v>12.28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1</v>
      </c>
      <c r="AQ16">
        <v>0</v>
      </c>
      <c r="AR16">
        <v>0</v>
      </c>
      <c r="AS16" t="s">
        <v>3</v>
      </c>
      <c r="AT16">
        <v>8.8999999999999996E-2</v>
      </c>
      <c r="AU16" t="s">
        <v>3</v>
      </c>
      <c r="AV16">
        <v>0</v>
      </c>
      <c r="AW16">
        <v>2</v>
      </c>
      <c r="AX16">
        <v>33052224</v>
      </c>
      <c r="AY16">
        <v>1</v>
      </c>
      <c r="AZ16">
        <v>0</v>
      </c>
      <c r="BA16">
        <v>17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Y16*Source!I59</f>
        <v>8.8999999999999996E-2</v>
      </c>
      <c r="CY16">
        <f t="shared" si="5"/>
        <v>807.41</v>
      </c>
      <c r="CZ16">
        <f t="shared" si="6"/>
        <v>65.75</v>
      </c>
      <c r="DA16">
        <f t="shared" si="7"/>
        <v>12.28</v>
      </c>
      <c r="DB16">
        <f t="shared" si="8"/>
        <v>5.85</v>
      </c>
      <c r="DC16">
        <f t="shared" si="9"/>
        <v>0</v>
      </c>
    </row>
    <row r="17" spans="1:107">
      <c r="A17">
        <f>ROW(Source!A59)</f>
        <v>59</v>
      </c>
      <c r="B17">
        <v>33052118</v>
      </c>
      <c r="C17">
        <v>33052208</v>
      </c>
      <c r="D17">
        <v>30290132</v>
      </c>
      <c r="E17">
        <v>1</v>
      </c>
      <c r="F17">
        <v>1</v>
      </c>
      <c r="G17">
        <v>1</v>
      </c>
      <c r="H17">
        <v>3</v>
      </c>
      <c r="I17" t="s">
        <v>170</v>
      </c>
      <c r="J17" t="s">
        <v>171</v>
      </c>
      <c r="K17" t="s">
        <v>172</v>
      </c>
      <c r="L17">
        <v>1346</v>
      </c>
      <c r="N17">
        <v>1009</v>
      </c>
      <c r="O17" t="s">
        <v>153</v>
      </c>
      <c r="P17" t="s">
        <v>153</v>
      </c>
      <c r="Q17">
        <v>1</v>
      </c>
      <c r="W17">
        <v>0</v>
      </c>
      <c r="X17">
        <v>65989290</v>
      </c>
      <c r="Y17">
        <v>0.06</v>
      </c>
      <c r="AA17">
        <v>169.08</v>
      </c>
      <c r="AB17">
        <v>0</v>
      </c>
      <c r="AC17">
        <v>0</v>
      </c>
      <c r="AD17">
        <v>0</v>
      </c>
      <c r="AE17">
        <v>38.340000000000003</v>
      </c>
      <c r="AF17">
        <v>0</v>
      </c>
      <c r="AG17">
        <v>0</v>
      </c>
      <c r="AH17">
        <v>0</v>
      </c>
      <c r="AI17">
        <v>4.41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1</v>
      </c>
      <c r="AQ17">
        <v>0</v>
      </c>
      <c r="AR17">
        <v>0</v>
      </c>
      <c r="AS17" t="s">
        <v>3</v>
      </c>
      <c r="AT17">
        <v>0.06</v>
      </c>
      <c r="AU17" t="s">
        <v>3</v>
      </c>
      <c r="AV17">
        <v>0</v>
      </c>
      <c r="AW17">
        <v>2</v>
      </c>
      <c r="AX17">
        <v>33052225</v>
      </c>
      <c r="AY17">
        <v>1</v>
      </c>
      <c r="AZ17">
        <v>0</v>
      </c>
      <c r="BA17">
        <v>18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Y17*Source!I59</f>
        <v>0.06</v>
      </c>
      <c r="CY17">
        <f t="shared" si="5"/>
        <v>169.08</v>
      </c>
      <c r="CZ17">
        <f t="shared" si="6"/>
        <v>38.340000000000003</v>
      </c>
      <c r="DA17">
        <f t="shared" si="7"/>
        <v>4.41</v>
      </c>
      <c r="DB17">
        <f t="shared" si="8"/>
        <v>2.2999999999999998</v>
      </c>
      <c r="DC17">
        <f t="shared" si="9"/>
        <v>0</v>
      </c>
    </row>
    <row r="18" spans="1:107">
      <c r="A18">
        <f>ROW(Source!A59)</f>
        <v>59</v>
      </c>
      <c r="B18">
        <v>33052118</v>
      </c>
      <c r="C18">
        <v>33052208</v>
      </c>
      <c r="D18">
        <v>30221230</v>
      </c>
      <c r="E18">
        <v>17</v>
      </c>
      <c r="F18">
        <v>1</v>
      </c>
      <c r="G18">
        <v>1</v>
      </c>
      <c r="H18">
        <v>3</v>
      </c>
      <c r="I18" t="s">
        <v>173</v>
      </c>
      <c r="J18" t="s">
        <v>3</v>
      </c>
      <c r="K18" t="s">
        <v>174</v>
      </c>
      <c r="L18">
        <v>1374</v>
      </c>
      <c r="N18">
        <v>1013</v>
      </c>
      <c r="O18" t="s">
        <v>175</v>
      </c>
      <c r="P18" t="s">
        <v>175</v>
      </c>
      <c r="Q18">
        <v>1</v>
      </c>
      <c r="W18">
        <v>0</v>
      </c>
      <c r="X18">
        <v>-1731369543</v>
      </c>
      <c r="Y18">
        <v>3.1</v>
      </c>
      <c r="AA18">
        <v>1</v>
      </c>
      <c r="AB18">
        <v>0</v>
      </c>
      <c r="AC18">
        <v>0</v>
      </c>
      <c r="AD18">
        <v>0</v>
      </c>
      <c r="AE18">
        <v>1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1</v>
      </c>
      <c r="AQ18">
        <v>0</v>
      </c>
      <c r="AR18">
        <v>0</v>
      </c>
      <c r="AS18" t="s">
        <v>3</v>
      </c>
      <c r="AT18">
        <v>3.1</v>
      </c>
      <c r="AU18" t="s">
        <v>3</v>
      </c>
      <c r="AV18">
        <v>0</v>
      </c>
      <c r="AW18">
        <v>2</v>
      </c>
      <c r="AX18">
        <v>33052227</v>
      </c>
      <c r="AY18">
        <v>1</v>
      </c>
      <c r="AZ18">
        <v>0</v>
      </c>
      <c r="BA18">
        <v>20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Y18*Source!I59</f>
        <v>3.1</v>
      </c>
      <c r="CY18">
        <f t="shared" si="5"/>
        <v>1</v>
      </c>
      <c r="CZ18">
        <f t="shared" si="6"/>
        <v>1</v>
      </c>
      <c r="DA18">
        <f t="shared" si="7"/>
        <v>1</v>
      </c>
      <c r="DB18">
        <f t="shared" si="8"/>
        <v>3.1</v>
      </c>
      <c r="DC18">
        <f t="shared" si="9"/>
        <v>0</v>
      </c>
    </row>
    <row r="19" spans="1:107">
      <c r="A19">
        <f>ROW(Source!A60)</f>
        <v>60</v>
      </c>
      <c r="B19">
        <v>33052118</v>
      </c>
      <c r="C19">
        <v>33052228</v>
      </c>
      <c r="D19">
        <v>30218050</v>
      </c>
      <c r="E19">
        <v>1</v>
      </c>
      <c r="F19">
        <v>1</v>
      </c>
      <c r="G19">
        <v>1</v>
      </c>
      <c r="H19">
        <v>1</v>
      </c>
      <c r="I19" t="s">
        <v>176</v>
      </c>
      <c r="J19" t="s">
        <v>3</v>
      </c>
      <c r="K19" t="s">
        <v>177</v>
      </c>
      <c r="L19">
        <v>1191</v>
      </c>
      <c r="N19">
        <v>1013</v>
      </c>
      <c r="O19" t="s">
        <v>149</v>
      </c>
      <c r="P19" t="s">
        <v>149</v>
      </c>
      <c r="Q19">
        <v>1</v>
      </c>
      <c r="W19">
        <v>0</v>
      </c>
      <c r="X19">
        <v>-2011479763</v>
      </c>
      <c r="Y19">
        <v>4.8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1</v>
      </c>
      <c r="AQ19">
        <v>0</v>
      </c>
      <c r="AR19">
        <v>0</v>
      </c>
      <c r="AS19" t="s">
        <v>3</v>
      </c>
      <c r="AT19">
        <v>4</v>
      </c>
      <c r="AU19" t="s">
        <v>76</v>
      </c>
      <c r="AV19">
        <v>1</v>
      </c>
      <c r="AW19">
        <v>2</v>
      </c>
      <c r="AX19">
        <v>33052229</v>
      </c>
      <c r="AY19">
        <v>1</v>
      </c>
      <c r="AZ19">
        <v>0</v>
      </c>
      <c r="BA19">
        <v>21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Y19*Source!I60</f>
        <v>4.8</v>
      </c>
      <c r="CY19">
        <f>AD19</f>
        <v>0</v>
      </c>
      <c r="CZ19">
        <f>AH19</f>
        <v>0</v>
      </c>
      <c r="DA19">
        <f>AL19</f>
        <v>1</v>
      </c>
      <c r="DB19">
        <f>ROUND((ROUND(AT19*CZ19,2)*1.2),6)</f>
        <v>0</v>
      </c>
      <c r="DC19">
        <f>ROUND((ROUND(AT19*AG19,2)*1.2),6)</f>
        <v>0</v>
      </c>
    </row>
    <row r="20" spans="1:107">
      <c r="A20">
        <f>ROW(Source!A60)</f>
        <v>60</v>
      </c>
      <c r="B20">
        <v>33052118</v>
      </c>
      <c r="C20">
        <v>33052228</v>
      </c>
      <c r="D20">
        <v>30221230</v>
      </c>
      <c r="E20">
        <v>17</v>
      </c>
      <c r="F20">
        <v>1</v>
      </c>
      <c r="G20">
        <v>1</v>
      </c>
      <c r="H20">
        <v>3</v>
      </c>
      <c r="I20" t="s">
        <v>173</v>
      </c>
      <c r="J20" t="s">
        <v>3</v>
      </c>
      <c r="K20" t="s">
        <v>174</v>
      </c>
      <c r="L20">
        <v>1374</v>
      </c>
      <c r="N20">
        <v>1013</v>
      </c>
      <c r="O20" t="s">
        <v>175</v>
      </c>
      <c r="P20" t="s">
        <v>175</v>
      </c>
      <c r="Q20">
        <v>1</v>
      </c>
      <c r="W20">
        <v>0</v>
      </c>
      <c r="X20">
        <v>-1731369543</v>
      </c>
      <c r="Y20">
        <v>0</v>
      </c>
      <c r="AA20">
        <v>1</v>
      </c>
      <c r="AB20">
        <v>0</v>
      </c>
      <c r="AC20">
        <v>0</v>
      </c>
      <c r="AD20">
        <v>0</v>
      </c>
      <c r="AE20">
        <v>1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1</v>
      </c>
      <c r="AQ20">
        <v>0</v>
      </c>
      <c r="AR20">
        <v>0</v>
      </c>
      <c r="AS20" t="s">
        <v>3</v>
      </c>
      <c r="AT20">
        <v>1.18</v>
      </c>
      <c r="AU20" t="s">
        <v>17</v>
      </c>
      <c r="AV20">
        <v>0</v>
      </c>
      <c r="AW20">
        <v>2</v>
      </c>
      <c r="AX20">
        <v>33052230</v>
      </c>
      <c r="AY20">
        <v>1</v>
      </c>
      <c r="AZ20">
        <v>0</v>
      </c>
      <c r="BA20">
        <v>22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Y20*Source!I60</f>
        <v>0</v>
      </c>
      <c r="CY20">
        <f>AA20</f>
        <v>1</v>
      </c>
      <c r="CZ20">
        <f>AE20</f>
        <v>1</v>
      </c>
      <c r="DA20">
        <f>AI20</f>
        <v>1</v>
      </c>
      <c r="DB20">
        <f>ROUND((ROUND(AT20*CZ20,2)*0),6)</f>
        <v>0</v>
      </c>
      <c r="DC20">
        <f>ROUND((ROUND(AT20*AG20,2)*0),6)</f>
        <v>0</v>
      </c>
    </row>
  </sheetData>
  <phoneticPr fontId="0" type="noConversion"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R22"/>
  <sheetViews>
    <sheetView workbookViewId="0"/>
  </sheetViews>
  <sheetFormatPr defaultColWidth="9.109375" defaultRowHeight="13.2"/>
  <sheetData>
    <row r="1" spans="1:44">
      <c r="A1">
        <f>ROW(Source!A24)</f>
        <v>24</v>
      </c>
      <c r="B1">
        <v>33052196</v>
      </c>
      <c r="C1">
        <v>33052195</v>
      </c>
      <c r="D1">
        <v>30217997</v>
      </c>
      <c r="E1">
        <v>1</v>
      </c>
      <c r="F1">
        <v>1</v>
      </c>
      <c r="G1">
        <v>1</v>
      </c>
      <c r="H1">
        <v>1</v>
      </c>
      <c r="I1" t="s">
        <v>147</v>
      </c>
      <c r="J1" t="s">
        <v>3</v>
      </c>
      <c r="K1" t="s">
        <v>148</v>
      </c>
      <c r="L1">
        <v>1191</v>
      </c>
      <c r="N1">
        <v>1013</v>
      </c>
      <c r="O1" t="s">
        <v>149</v>
      </c>
      <c r="P1" t="s">
        <v>149</v>
      </c>
      <c r="Q1">
        <v>1</v>
      </c>
      <c r="X1">
        <v>15</v>
      </c>
      <c r="Y1">
        <v>0</v>
      </c>
      <c r="Z1">
        <v>0</v>
      </c>
      <c r="AA1">
        <v>0</v>
      </c>
      <c r="AB1">
        <v>10.35</v>
      </c>
      <c r="AC1">
        <v>0</v>
      </c>
      <c r="AD1">
        <v>1</v>
      </c>
      <c r="AE1">
        <v>1</v>
      </c>
      <c r="AF1" t="s">
        <v>18</v>
      </c>
      <c r="AG1">
        <v>5.4</v>
      </c>
      <c r="AH1">
        <v>2</v>
      </c>
      <c r="AI1">
        <v>33052196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>
      <c r="A2">
        <f>ROW(Source!A24)</f>
        <v>24</v>
      </c>
      <c r="B2">
        <v>33052197</v>
      </c>
      <c r="C2">
        <v>33052195</v>
      </c>
      <c r="D2">
        <v>30222283</v>
      </c>
      <c r="E2">
        <v>1</v>
      </c>
      <c r="F2">
        <v>1</v>
      </c>
      <c r="G2">
        <v>1</v>
      </c>
      <c r="H2">
        <v>3</v>
      </c>
      <c r="I2" t="s">
        <v>150</v>
      </c>
      <c r="J2" t="s">
        <v>151</v>
      </c>
      <c r="K2" t="s">
        <v>152</v>
      </c>
      <c r="L2">
        <v>1346</v>
      </c>
      <c r="N2">
        <v>1009</v>
      </c>
      <c r="O2" t="s">
        <v>153</v>
      </c>
      <c r="P2" t="s">
        <v>153</v>
      </c>
      <c r="Q2">
        <v>1</v>
      </c>
      <c r="X2">
        <v>0.31</v>
      </c>
      <c r="Y2">
        <v>38.89</v>
      </c>
      <c r="Z2">
        <v>0</v>
      </c>
      <c r="AA2">
        <v>0</v>
      </c>
      <c r="AB2">
        <v>0</v>
      </c>
      <c r="AC2">
        <v>0</v>
      </c>
      <c r="AD2">
        <v>1</v>
      </c>
      <c r="AE2">
        <v>0</v>
      </c>
      <c r="AF2" t="s">
        <v>17</v>
      </c>
      <c r="AG2">
        <v>0</v>
      </c>
      <c r="AH2">
        <v>2</v>
      </c>
      <c r="AI2">
        <v>33052197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>
      <c r="A3">
        <f>ROW(Source!A24)</f>
        <v>24</v>
      </c>
      <c r="B3">
        <v>33052198</v>
      </c>
      <c r="C3">
        <v>33052195</v>
      </c>
      <c r="D3">
        <v>30222587</v>
      </c>
      <c r="E3">
        <v>1</v>
      </c>
      <c r="F3">
        <v>1</v>
      </c>
      <c r="G3">
        <v>1</v>
      </c>
      <c r="H3">
        <v>3</v>
      </c>
      <c r="I3" t="s">
        <v>154</v>
      </c>
      <c r="J3" t="s">
        <v>155</v>
      </c>
      <c r="K3" t="s">
        <v>156</v>
      </c>
      <c r="L3">
        <v>1346</v>
      </c>
      <c r="N3">
        <v>1009</v>
      </c>
      <c r="O3" t="s">
        <v>153</v>
      </c>
      <c r="P3" t="s">
        <v>153</v>
      </c>
      <c r="Q3">
        <v>1</v>
      </c>
      <c r="X3">
        <v>8.8999999999999996E-2</v>
      </c>
      <c r="Y3">
        <v>27.74</v>
      </c>
      <c r="Z3">
        <v>0</v>
      </c>
      <c r="AA3">
        <v>0</v>
      </c>
      <c r="AB3">
        <v>0</v>
      </c>
      <c r="AC3">
        <v>0</v>
      </c>
      <c r="AD3">
        <v>1</v>
      </c>
      <c r="AE3">
        <v>0</v>
      </c>
      <c r="AF3" t="s">
        <v>17</v>
      </c>
      <c r="AG3">
        <v>0</v>
      </c>
      <c r="AH3">
        <v>2</v>
      </c>
      <c r="AI3">
        <v>33052198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>
      <c r="A4">
        <f>ROW(Source!A24)</f>
        <v>24</v>
      </c>
      <c r="B4">
        <v>33052199</v>
      </c>
      <c r="C4">
        <v>33052195</v>
      </c>
      <c r="D4">
        <v>30223972</v>
      </c>
      <c r="E4">
        <v>1</v>
      </c>
      <c r="F4">
        <v>1</v>
      </c>
      <c r="G4">
        <v>1</v>
      </c>
      <c r="H4">
        <v>3</v>
      </c>
      <c r="I4" t="s">
        <v>157</v>
      </c>
      <c r="J4" t="s">
        <v>158</v>
      </c>
      <c r="K4" t="s">
        <v>159</v>
      </c>
      <c r="L4">
        <v>1383</v>
      </c>
      <c r="N4">
        <v>1013</v>
      </c>
      <c r="O4" t="s">
        <v>160</v>
      </c>
      <c r="P4" t="s">
        <v>160</v>
      </c>
      <c r="Q4">
        <v>1</v>
      </c>
      <c r="X4">
        <v>10</v>
      </c>
      <c r="Y4">
        <v>0.4</v>
      </c>
      <c r="Z4">
        <v>0</v>
      </c>
      <c r="AA4">
        <v>0</v>
      </c>
      <c r="AB4">
        <v>0</v>
      </c>
      <c r="AC4">
        <v>0</v>
      </c>
      <c r="AD4">
        <v>1</v>
      </c>
      <c r="AE4">
        <v>0</v>
      </c>
      <c r="AF4" t="s">
        <v>17</v>
      </c>
      <c r="AG4">
        <v>0</v>
      </c>
      <c r="AH4">
        <v>2</v>
      </c>
      <c r="AI4">
        <v>33052199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>
      <c r="A5">
        <f>ROW(Source!A24)</f>
        <v>24</v>
      </c>
      <c r="B5">
        <v>33052200</v>
      </c>
      <c r="C5">
        <v>33052195</v>
      </c>
      <c r="D5">
        <v>30224236</v>
      </c>
      <c r="E5">
        <v>1</v>
      </c>
      <c r="F5">
        <v>1</v>
      </c>
      <c r="G5">
        <v>1</v>
      </c>
      <c r="H5">
        <v>3</v>
      </c>
      <c r="I5" t="s">
        <v>161</v>
      </c>
      <c r="J5" t="s">
        <v>162</v>
      </c>
      <c r="K5" t="s">
        <v>163</v>
      </c>
      <c r="L5">
        <v>1346</v>
      </c>
      <c r="N5">
        <v>1009</v>
      </c>
      <c r="O5" t="s">
        <v>153</v>
      </c>
      <c r="P5" t="s">
        <v>153</v>
      </c>
      <c r="Q5">
        <v>1</v>
      </c>
      <c r="X5">
        <v>0.17799999999999999</v>
      </c>
      <c r="Y5">
        <v>39.020000000000003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17</v>
      </c>
      <c r="AG5">
        <v>0</v>
      </c>
      <c r="AH5">
        <v>2</v>
      </c>
      <c r="AI5">
        <v>33052200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>
      <c r="A6">
        <f>ROW(Source!A24)</f>
        <v>24</v>
      </c>
      <c r="B6">
        <v>33052201</v>
      </c>
      <c r="C6">
        <v>33052195</v>
      </c>
      <c r="D6">
        <v>30227660</v>
      </c>
      <c r="E6">
        <v>1</v>
      </c>
      <c r="F6">
        <v>1</v>
      </c>
      <c r="G6">
        <v>1</v>
      </c>
      <c r="H6">
        <v>3</v>
      </c>
      <c r="I6" t="s">
        <v>164</v>
      </c>
      <c r="J6" t="s">
        <v>165</v>
      </c>
      <c r="K6" t="s">
        <v>166</v>
      </c>
      <c r="L6">
        <v>1346</v>
      </c>
      <c r="N6">
        <v>1009</v>
      </c>
      <c r="O6" t="s">
        <v>153</v>
      </c>
      <c r="P6" t="s">
        <v>153</v>
      </c>
      <c r="Q6">
        <v>1</v>
      </c>
      <c r="X6">
        <v>0.12</v>
      </c>
      <c r="Y6">
        <v>155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 t="s">
        <v>17</v>
      </c>
      <c r="AG6">
        <v>0</v>
      </c>
      <c r="AH6">
        <v>2</v>
      </c>
      <c r="AI6">
        <v>33052201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>
      <c r="A7">
        <f>ROW(Source!A24)</f>
        <v>24</v>
      </c>
      <c r="B7">
        <v>33052202</v>
      </c>
      <c r="C7">
        <v>33052195</v>
      </c>
      <c r="D7">
        <v>30251749</v>
      </c>
      <c r="E7">
        <v>1</v>
      </c>
      <c r="F7">
        <v>1</v>
      </c>
      <c r="G7">
        <v>1</v>
      </c>
      <c r="H7">
        <v>3</v>
      </c>
      <c r="I7" t="s">
        <v>167</v>
      </c>
      <c r="J7" t="s">
        <v>168</v>
      </c>
      <c r="K7" t="s">
        <v>169</v>
      </c>
      <c r="L7">
        <v>1346</v>
      </c>
      <c r="N7">
        <v>1009</v>
      </c>
      <c r="O7" t="s">
        <v>153</v>
      </c>
      <c r="P7" t="s">
        <v>153</v>
      </c>
      <c r="Q7">
        <v>1</v>
      </c>
      <c r="X7">
        <v>8.8999999999999996E-2</v>
      </c>
      <c r="Y7">
        <v>65.75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17</v>
      </c>
      <c r="AG7">
        <v>0</v>
      </c>
      <c r="AH7">
        <v>2</v>
      </c>
      <c r="AI7">
        <v>33052202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>
      <c r="A8">
        <f>ROW(Source!A24)</f>
        <v>24</v>
      </c>
      <c r="B8">
        <v>33052203</v>
      </c>
      <c r="C8">
        <v>33052195</v>
      </c>
      <c r="D8">
        <v>30290132</v>
      </c>
      <c r="E8">
        <v>1</v>
      </c>
      <c r="F8">
        <v>1</v>
      </c>
      <c r="G8">
        <v>1</v>
      </c>
      <c r="H8">
        <v>3</v>
      </c>
      <c r="I8" t="s">
        <v>170</v>
      </c>
      <c r="J8" t="s">
        <v>171</v>
      </c>
      <c r="K8" t="s">
        <v>172</v>
      </c>
      <c r="L8">
        <v>1346</v>
      </c>
      <c r="N8">
        <v>1009</v>
      </c>
      <c r="O8" t="s">
        <v>153</v>
      </c>
      <c r="P8" t="s">
        <v>153</v>
      </c>
      <c r="Q8">
        <v>1</v>
      </c>
      <c r="X8">
        <v>0.06</v>
      </c>
      <c r="Y8">
        <v>38.340000000000003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17</v>
      </c>
      <c r="AG8">
        <v>0</v>
      </c>
      <c r="AH8">
        <v>2</v>
      </c>
      <c r="AI8">
        <v>33052203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>
      <c r="A9">
        <f>ROW(Source!A24)</f>
        <v>24</v>
      </c>
      <c r="B9">
        <v>33052204</v>
      </c>
      <c r="C9">
        <v>33052195</v>
      </c>
      <c r="D9">
        <v>30221231</v>
      </c>
      <c r="E9">
        <v>17</v>
      </c>
      <c r="F9">
        <v>1</v>
      </c>
      <c r="G9">
        <v>1</v>
      </c>
      <c r="H9">
        <v>3</v>
      </c>
      <c r="I9" t="s">
        <v>178</v>
      </c>
      <c r="J9" t="s">
        <v>3</v>
      </c>
      <c r="K9" t="s">
        <v>179</v>
      </c>
      <c r="L9">
        <v>1348</v>
      </c>
      <c r="N9">
        <v>1009</v>
      </c>
      <c r="O9" t="s">
        <v>180</v>
      </c>
      <c r="P9" t="s">
        <v>180</v>
      </c>
      <c r="Q9">
        <v>1000</v>
      </c>
      <c r="X9">
        <v>1.4E-2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 t="s">
        <v>17</v>
      </c>
      <c r="AG9">
        <v>0</v>
      </c>
      <c r="AH9">
        <v>3</v>
      </c>
      <c r="AI9">
        <v>-1</v>
      </c>
      <c r="AJ9" t="s">
        <v>3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>
      <c r="A10">
        <f>ROW(Source!A24)</f>
        <v>24</v>
      </c>
      <c r="B10">
        <v>33052205</v>
      </c>
      <c r="C10">
        <v>33052195</v>
      </c>
      <c r="D10">
        <v>30221230</v>
      </c>
      <c r="E10">
        <v>17</v>
      </c>
      <c r="F10">
        <v>1</v>
      </c>
      <c r="G10">
        <v>1</v>
      </c>
      <c r="H10">
        <v>3</v>
      </c>
      <c r="I10" t="s">
        <v>173</v>
      </c>
      <c r="J10" t="s">
        <v>3</v>
      </c>
      <c r="K10" t="s">
        <v>174</v>
      </c>
      <c r="L10">
        <v>1374</v>
      </c>
      <c r="N10">
        <v>1013</v>
      </c>
      <c r="O10" t="s">
        <v>175</v>
      </c>
      <c r="P10" t="s">
        <v>175</v>
      </c>
      <c r="Q10">
        <v>1</v>
      </c>
      <c r="X10">
        <v>3.1</v>
      </c>
      <c r="Y10">
        <v>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17</v>
      </c>
      <c r="AG10">
        <v>0</v>
      </c>
      <c r="AH10">
        <v>2</v>
      </c>
      <c r="AI10">
        <v>33052205</v>
      </c>
      <c r="AJ10">
        <v>9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>
      <c r="A11">
        <f>ROW(Source!A59)</f>
        <v>59</v>
      </c>
      <c r="B11">
        <v>33052218</v>
      </c>
      <c r="C11">
        <v>33052208</v>
      </c>
      <c r="D11">
        <v>30217997</v>
      </c>
      <c r="E11">
        <v>1</v>
      </c>
      <c r="F11">
        <v>1</v>
      </c>
      <c r="G11">
        <v>1</v>
      </c>
      <c r="H11">
        <v>1</v>
      </c>
      <c r="I11" t="s">
        <v>147</v>
      </c>
      <c r="J11" t="s">
        <v>3</v>
      </c>
      <c r="K11" t="s">
        <v>148</v>
      </c>
      <c r="L11">
        <v>1191</v>
      </c>
      <c r="N11">
        <v>1013</v>
      </c>
      <c r="O11" t="s">
        <v>149</v>
      </c>
      <c r="P11" t="s">
        <v>149</v>
      </c>
      <c r="Q11">
        <v>1</v>
      </c>
      <c r="X11">
        <v>15</v>
      </c>
      <c r="Y11">
        <v>0</v>
      </c>
      <c r="Z11">
        <v>0</v>
      </c>
      <c r="AA11">
        <v>0</v>
      </c>
      <c r="AB11">
        <v>10.35</v>
      </c>
      <c r="AC11">
        <v>0</v>
      </c>
      <c r="AD11">
        <v>1</v>
      </c>
      <c r="AE11">
        <v>1</v>
      </c>
      <c r="AF11" t="s">
        <v>76</v>
      </c>
      <c r="AG11">
        <v>18</v>
      </c>
      <c r="AH11">
        <v>2</v>
      </c>
      <c r="AI11">
        <v>33052209</v>
      </c>
      <c r="AJ11">
        <v>10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>
      <c r="A12">
        <f>ROW(Source!A59)</f>
        <v>59</v>
      </c>
      <c r="B12">
        <v>33052219</v>
      </c>
      <c r="C12">
        <v>33052208</v>
      </c>
      <c r="D12">
        <v>30222283</v>
      </c>
      <c r="E12">
        <v>1</v>
      </c>
      <c r="F12">
        <v>1</v>
      </c>
      <c r="G12">
        <v>1</v>
      </c>
      <c r="H12">
        <v>3</v>
      </c>
      <c r="I12" t="s">
        <v>150</v>
      </c>
      <c r="J12" t="s">
        <v>151</v>
      </c>
      <c r="K12" t="s">
        <v>152</v>
      </c>
      <c r="L12">
        <v>1346</v>
      </c>
      <c r="N12">
        <v>1009</v>
      </c>
      <c r="O12" t="s">
        <v>153</v>
      </c>
      <c r="P12" t="s">
        <v>153</v>
      </c>
      <c r="Q12">
        <v>1</v>
      </c>
      <c r="X12">
        <v>0.31</v>
      </c>
      <c r="Y12">
        <v>38.89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0.31</v>
      </c>
      <c r="AH12">
        <v>2</v>
      </c>
      <c r="AI12">
        <v>33052210</v>
      </c>
      <c r="AJ12">
        <v>11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>
      <c r="A13">
        <f>ROW(Source!A59)</f>
        <v>59</v>
      </c>
      <c r="B13">
        <v>33052220</v>
      </c>
      <c r="C13">
        <v>33052208</v>
      </c>
      <c r="D13">
        <v>30222587</v>
      </c>
      <c r="E13">
        <v>1</v>
      </c>
      <c r="F13">
        <v>1</v>
      </c>
      <c r="G13">
        <v>1</v>
      </c>
      <c r="H13">
        <v>3</v>
      </c>
      <c r="I13" t="s">
        <v>154</v>
      </c>
      <c r="J13" t="s">
        <v>155</v>
      </c>
      <c r="K13" t="s">
        <v>156</v>
      </c>
      <c r="L13">
        <v>1346</v>
      </c>
      <c r="N13">
        <v>1009</v>
      </c>
      <c r="O13" t="s">
        <v>153</v>
      </c>
      <c r="P13" t="s">
        <v>153</v>
      </c>
      <c r="Q13">
        <v>1</v>
      </c>
      <c r="X13">
        <v>8.8999999999999996E-2</v>
      </c>
      <c r="Y13">
        <v>27.74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8.8999999999999996E-2</v>
      </c>
      <c r="AH13">
        <v>2</v>
      </c>
      <c r="AI13">
        <v>33052211</v>
      </c>
      <c r="AJ13">
        <v>12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>
      <c r="A14">
        <f>ROW(Source!A59)</f>
        <v>59</v>
      </c>
      <c r="B14">
        <v>33052221</v>
      </c>
      <c r="C14">
        <v>33052208</v>
      </c>
      <c r="D14">
        <v>30223972</v>
      </c>
      <c r="E14">
        <v>1</v>
      </c>
      <c r="F14">
        <v>1</v>
      </c>
      <c r="G14">
        <v>1</v>
      </c>
      <c r="H14">
        <v>3</v>
      </c>
      <c r="I14" t="s">
        <v>157</v>
      </c>
      <c r="J14" t="s">
        <v>158</v>
      </c>
      <c r="K14" t="s">
        <v>159</v>
      </c>
      <c r="L14">
        <v>1383</v>
      </c>
      <c r="N14">
        <v>1013</v>
      </c>
      <c r="O14" t="s">
        <v>160</v>
      </c>
      <c r="P14" t="s">
        <v>160</v>
      </c>
      <c r="Q14">
        <v>1</v>
      </c>
      <c r="X14">
        <v>10</v>
      </c>
      <c r="Y14">
        <v>0.4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10</v>
      </c>
      <c r="AH14">
        <v>2</v>
      </c>
      <c r="AI14">
        <v>33052212</v>
      </c>
      <c r="AJ14">
        <v>13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>
      <c r="A15">
        <f>ROW(Source!A59)</f>
        <v>59</v>
      </c>
      <c r="B15">
        <v>33052222</v>
      </c>
      <c r="C15">
        <v>33052208</v>
      </c>
      <c r="D15">
        <v>30224236</v>
      </c>
      <c r="E15">
        <v>1</v>
      </c>
      <c r="F15">
        <v>1</v>
      </c>
      <c r="G15">
        <v>1</v>
      </c>
      <c r="H15">
        <v>3</v>
      </c>
      <c r="I15" t="s">
        <v>161</v>
      </c>
      <c r="J15" t="s">
        <v>162</v>
      </c>
      <c r="K15" t="s">
        <v>163</v>
      </c>
      <c r="L15">
        <v>1346</v>
      </c>
      <c r="N15">
        <v>1009</v>
      </c>
      <c r="O15" t="s">
        <v>153</v>
      </c>
      <c r="P15" t="s">
        <v>153</v>
      </c>
      <c r="Q15">
        <v>1</v>
      </c>
      <c r="X15">
        <v>0.17799999999999999</v>
      </c>
      <c r="Y15">
        <v>39.020000000000003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0.17799999999999999</v>
      </c>
      <c r="AH15">
        <v>2</v>
      </c>
      <c r="AI15">
        <v>33052213</v>
      </c>
      <c r="AJ15">
        <v>14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>
      <c r="A16">
        <f>ROW(Source!A59)</f>
        <v>59</v>
      </c>
      <c r="B16">
        <v>33052223</v>
      </c>
      <c r="C16">
        <v>33052208</v>
      </c>
      <c r="D16">
        <v>30227660</v>
      </c>
      <c r="E16">
        <v>1</v>
      </c>
      <c r="F16">
        <v>1</v>
      </c>
      <c r="G16">
        <v>1</v>
      </c>
      <c r="H16">
        <v>3</v>
      </c>
      <c r="I16" t="s">
        <v>164</v>
      </c>
      <c r="J16" t="s">
        <v>165</v>
      </c>
      <c r="K16" t="s">
        <v>166</v>
      </c>
      <c r="L16">
        <v>1346</v>
      </c>
      <c r="N16">
        <v>1009</v>
      </c>
      <c r="O16" t="s">
        <v>153</v>
      </c>
      <c r="P16" t="s">
        <v>153</v>
      </c>
      <c r="Q16">
        <v>1</v>
      </c>
      <c r="X16">
        <v>0.12</v>
      </c>
      <c r="Y16">
        <v>155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3</v>
      </c>
      <c r="AG16">
        <v>0.12</v>
      </c>
      <c r="AH16">
        <v>2</v>
      </c>
      <c r="AI16">
        <v>33052214</v>
      </c>
      <c r="AJ16">
        <v>15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>
      <c r="A17">
        <f>ROW(Source!A59)</f>
        <v>59</v>
      </c>
      <c r="B17">
        <v>33052224</v>
      </c>
      <c r="C17">
        <v>33052208</v>
      </c>
      <c r="D17">
        <v>30251749</v>
      </c>
      <c r="E17">
        <v>1</v>
      </c>
      <c r="F17">
        <v>1</v>
      </c>
      <c r="G17">
        <v>1</v>
      </c>
      <c r="H17">
        <v>3</v>
      </c>
      <c r="I17" t="s">
        <v>167</v>
      </c>
      <c r="J17" t="s">
        <v>168</v>
      </c>
      <c r="K17" t="s">
        <v>169</v>
      </c>
      <c r="L17">
        <v>1346</v>
      </c>
      <c r="N17">
        <v>1009</v>
      </c>
      <c r="O17" t="s">
        <v>153</v>
      </c>
      <c r="P17" t="s">
        <v>153</v>
      </c>
      <c r="Q17">
        <v>1</v>
      </c>
      <c r="X17">
        <v>8.8999999999999996E-2</v>
      </c>
      <c r="Y17">
        <v>65.75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3</v>
      </c>
      <c r="AG17">
        <v>8.8999999999999996E-2</v>
      </c>
      <c r="AH17">
        <v>2</v>
      </c>
      <c r="AI17">
        <v>33052215</v>
      </c>
      <c r="AJ17">
        <v>16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>
      <c r="A18">
        <f>ROW(Source!A59)</f>
        <v>59</v>
      </c>
      <c r="B18">
        <v>33052225</v>
      </c>
      <c r="C18">
        <v>33052208</v>
      </c>
      <c r="D18">
        <v>30290132</v>
      </c>
      <c r="E18">
        <v>1</v>
      </c>
      <c r="F18">
        <v>1</v>
      </c>
      <c r="G18">
        <v>1</v>
      </c>
      <c r="H18">
        <v>3</v>
      </c>
      <c r="I18" t="s">
        <v>170</v>
      </c>
      <c r="J18" t="s">
        <v>171</v>
      </c>
      <c r="K18" t="s">
        <v>172</v>
      </c>
      <c r="L18">
        <v>1346</v>
      </c>
      <c r="N18">
        <v>1009</v>
      </c>
      <c r="O18" t="s">
        <v>153</v>
      </c>
      <c r="P18" t="s">
        <v>153</v>
      </c>
      <c r="Q18">
        <v>1</v>
      </c>
      <c r="X18">
        <v>0.06</v>
      </c>
      <c r="Y18">
        <v>38.340000000000003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0.06</v>
      </c>
      <c r="AH18">
        <v>2</v>
      </c>
      <c r="AI18">
        <v>33052216</v>
      </c>
      <c r="AJ18">
        <v>17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>
      <c r="A19">
        <f>ROW(Source!A59)</f>
        <v>59</v>
      </c>
      <c r="B19">
        <v>33052226</v>
      </c>
      <c r="C19">
        <v>33052208</v>
      </c>
      <c r="D19">
        <v>30221231</v>
      </c>
      <c r="E19">
        <v>17</v>
      </c>
      <c r="F19">
        <v>1</v>
      </c>
      <c r="G19">
        <v>1</v>
      </c>
      <c r="H19">
        <v>3</v>
      </c>
      <c r="I19" t="s">
        <v>178</v>
      </c>
      <c r="J19" t="s">
        <v>3</v>
      </c>
      <c r="K19" t="s">
        <v>179</v>
      </c>
      <c r="L19">
        <v>1348</v>
      </c>
      <c r="N19">
        <v>1009</v>
      </c>
      <c r="O19" t="s">
        <v>180</v>
      </c>
      <c r="P19" t="s">
        <v>180</v>
      </c>
      <c r="Q19">
        <v>1000</v>
      </c>
      <c r="X19">
        <v>1.4E-2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 t="s">
        <v>3</v>
      </c>
      <c r="AG19">
        <v>1.4E-2</v>
      </c>
      <c r="AH19">
        <v>3</v>
      </c>
      <c r="AI19">
        <v>-1</v>
      </c>
      <c r="AJ19" t="s">
        <v>3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>
      <c r="A20">
        <f>ROW(Source!A59)</f>
        <v>59</v>
      </c>
      <c r="B20">
        <v>33052227</v>
      </c>
      <c r="C20">
        <v>33052208</v>
      </c>
      <c r="D20">
        <v>30221230</v>
      </c>
      <c r="E20">
        <v>17</v>
      </c>
      <c r="F20">
        <v>1</v>
      </c>
      <c r="G20">
        <v>1</v>
      </c>
      <c r="H20">
        <v>3</v>
      </c>
      <c r="I20" t="s">
        <v>173</v>
      </c>
      <c r="J20" t="s">
        <v>3</v>
      </c>
      <c r="K20" t="s">
        <v>174</v>
      </c>
      <c r="L20">
        <v>1374</v>
      </c>
      <c r="N20">
        <v>1013</v>
      </c>
      <c r="O20" t="s">
        <v>175</v>
      </c>
      <c r="P20" t="s">
        <v>175</v>
      </c>
      <c r="Q20">
        <v>1</v>
      </c>
      <c r="X20">
        <v>3.1</v>
      </c>
      <c r="Y20">
        <v>1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3.1</v>
      </c>
      <c r="AH20">
        <v>2</v>
      </c>
      <c r="AI20">
        <v>33052217</v>
      </c>
      <c r="AJ20">
        <v>18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>
      <c r="A21">
        <f>ROW(Source!A60)</f>
        <v>60</v>
      </c>
      <c r="B21">
        <v>33052229</v>
      </c>
      <c r="C21">
        <v>33052228</v>
      </c>
      <c r="D21">
        <v>30218050</v>
      </c>
      <c r="E21">
        <v>1</v>
      </c>
      <c r="F21">
        <v>1</v>
      </c>
      <c r="G21">
        <v>1</v>
      </c>
      <c r="H21">
        <v>1</v>
      </c>
      <c r="I21" t="s">
        <v>176</v>
      </c>
      <c r="J21" t="s">
        <v>3</v>
      </c>
      <c r="K21" t="s">
        <v>177</v>
      </c>
      <c r="L21">
        <v>1191</v>
      </c>
      <c r="N21">
        <v>1013</v>
      </c>
      <c r="O21" t="s">
        <v>149</v>
      </c>
      <c r="P21" t="s">
        <v>149</v>
      </c>
      <c r="Q21">
        <v>1</v>
      </c>
      <c r="X21">
        <v>4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1</v>
      </c>
      <c r="AF21" t="s">
        <v>76</v>
      </c>
      <c r="AG21">
        <v>4.8</v>
      </c>
      <c r="AH21">
        <v>2</v>
      </c>
      <c r="AI21">
        <v>33052229</v>
      </c>
      <c r="AJ21">
        <v>19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>
      <c r="A22">
        <f>ROW(Source!A60)</f>
        <v>60</v>
      </c>
      <c r="B22">
        <v>33052230</v>
      </c>
      <c r="C22">
        <v>33052228</v>
      </c>
      <c r="D22">
        <v>30221230</v>
      </c>
      <c r="E22">
        <v>17</v>
      </c>
      <c r="F22">
        <v>1</v>
      </c>
      <c r="G22">
        <v>1</v>
      </c>
      <c r="H22">
        <v>3</v>
      </c>
      <c r="I22" t="s">
        <v>173</v>
      </c>
      <c r="J22" t="s">
        <v>3</v>
      </c>
      <c r="K22" t="s">
        <v>174</v>
      </c>
      <c r="L22">
        <v>1374</v>
      </c>
      <c r="N22">
        <v>1013</v>
      </c>
      <c r="O22" t="s">
        <v>175</v>
      </c>
      <c r="P22" t="s">
        <v>175</v>
      </c>
      <c r="Q22">
        <v>1</v>
      </c>
      <c r="X22">
        <v>1.18</v>
      </c>
      <c r="Y22">
        <v>1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17</v>
      </c>
      <c r="AG22">
        <v>0</v>
      </c>
      <c r="AH22">
        <v>2</v>
      </c>
      <c r="AI22">
        <v>33052230</v>
      </c>
      <c r="AJ22">
        <v>20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</sheetData>
  <phoneticPr fontId="0" type="noConversion"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ССР</vt:lpstr>
      <vt:lpstr>Смета 12 гр. по ФЕР</vt:lpstr>
      <vt:lpstr>Source</vt:lpstr>
      <vt:lpstr>SourceObSm</vt:lpstr>
      <vt:lpstr>SmtRes</vt:lpstr>
      <vt:lpstr>EtalonRes</vt:lpstr>
      <vt:lpstr>'Смета 12 гр. по ФЕР'!Заголовки_для_печати</vt:lpstr>
      <vt:lpstr>'Смета 12 гр. по ФЕР'!Область_печати</vt:lpstr>
      <vt:lpstr>ССР!Область_печати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PSN</dc:creator>
  <cp:lastModifiedBy>PSN</cp:lastModifiedBy>
  <cp:lastPrinted>2020-08-04T11:40:26Z</cp:lastPrinted>
  <dcterms:created xsi:type="dcterms:W3CDTF">2020-08-27T12:23:40Z</dcterms:created>
  <dcterms:modified xsi:type="dcterms:W3CDTF">2020-08-27T12:31:13Z</dcterms:modified>
</cp:coreProperties>
</file>